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rprosjektas-my.sharepoint.com/personal/ashlie_hrpas_no/Documents/Invest in Ringerike/"/>
    </mc:Choice>
  </mc:AlternateContent>
  <xr:revisionPtr revIDLastSave="1709" documentId="8_{0AC9F720-EC9B-4E51-B959-84CAD9F276C8}" xr6:coauthVersionLast="47" xr6:coauthVersionMax="47" xr10:uidLastSave="{D0B73CB6-99EF-4971-A942-216FCBA0140D}"/>
  <bookViews>
    <workbookView xWindow="-76920" yWindow="-9855" windowWidth="38640" windowHeight="21240" xr2:uid="{C012FE50-439E-48E8-B97B-88F76523CCC9}"/>
  </bookViews>
  <sheets>
    <sheet name="Oversikt" sheetId="1" r:id="rId1"/>
    <sheet name="Jevnaker" sheetId="6" r:id="rId2"/>
    <sheet name="Krødsherad" sheetId="3" r:id="rId3"/>
    <sheet name="Modum" sheetId="4" r:id="rId4"/>
    <sheet name="Hole" sheetId="5" r:id="rId5"/>
    <sheet name="Ringerike 1" sheetId="2" r:id="rId6"/>
  </sheets>
  <definedNames>
    <definedName name="fDato">'Ringerike 1'!$D$1</definedName>
    <definedName name="fÅr">'Ringerike 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2" l="1"/>
  <c r="L72" i="2"/>
  <c r="L70" i="2"/>
  <c r="L28" i="2"/>
  <c r="L40" i="4"/>
  <c r="D3" i="3"/>
  <c r="M23" i="2"/>
  <c r="I42" i="2"/>
  <c r="J9" i="3"/>
  <c r="M6" i="3"/>
  <c r="M9" i="3" s="1"/>
  <c r="E4" i="1" s="1"/>
  <c r="L9" i="3"/>
  <c r="I19" i="5"/>
  <c r="B6" i="1" s="1"/>
  <c r="C6" i="1" s="1"/>
  <c r="C4" i="1"/>
  <c r="D4" i="1"/>
  <c r="B4" i="1"/>
  <c r="I9" i="3"/>
  <c r="D14" i="6"/>
  <c r="I20" i="6"/>
  <c r="B3" i="1" s="1"/>
  <c r="L10" i="6"/>
  <c r="D8" i="6"/>
  <c r="L6" i="3"/>
  <c r="J17" i="6"/>
  <c r="L17" i="6" s="1"/>
  <c r="J16" i="6"/>
  <c r="L16" i="6" s="1"/>
  <c r="J15" i="6"/>
  <c r="L15" i="6" s="1"/>
  <c r="J14" i="6"/>
  <c r="L14" i="6" s="1"/>
  <c r="J12" i="6"/>
  <c r="L12" i="6" s="1"/>
  <c r="J11" i="6"/>
  <c r="L11" i="6" s="1"/>
  <c r="J10" i="6"/>
  <c r="J9" i="6"/>
  <c r="L9" i="6" s="1"/>
  <c r="L8" i="6"/>
  <c r="J6" i="6"/>
  <c r="J4" i="6"/>
  <c r="L4" i="6" s="1"/>
  <c r="C3" i="1" l="1"/>
  <c r="M10" i="6"/>
  <c r="M11" i="6"/>
  <c r="M12" i="6"/>
  <c r="N14" i="6"/>
  <c r="M14" i="6"/>
  <c r="N4" i="6"/>
  <c r="N20" i="6" s="1"/>
  <c r="M4" i="6"/>
  <c r="N15" i="6"/>
  <c r="M15" i="6"/>
  <c r="N16" i="6"/>
  <c r="M16" i="6"/>
  <c r="M8" i="6"/>
  <c r="N8" i="6"/>
  <c r="N17" i="6"/>
  <c r="M17" i="6"/>
  <c r="M9" i="6"/>
  <c r="L6" i="6"/>
  <c r="L20" i="6" s="1"/>
  <c r="D3" i="1" s="1"/>
  <c r="M6" i="6" l="1"/>
  <c r="M20" i="6" s="1"/>
  <c r="E3" i="1" s="1"/>
  <c r="J6" i="3" l="1"/>
  <c r="I7" i="3"/>
  <c r="J4" i="3"/>
  <c r="L4" i="3" s="1"/>
  <c r="J3" i="3"/>
  <c r="L3" i="3" s="1"/>
  <c r="M3" i="3" s="1"/>
  <c r="D15" i="5"/>
  <c r="J16" i="5"/>
  <c r="L16" i="5" s="1"/>
  <c r="M16" i="5" s="1"/>
  <c r="L15" i="5"/>
  <c r="M15" i="5" s="1"/>
  <c r="J15" i="5"/>
  <c r="D4" i="5"/>
  <c r="L13" i="5"/>
  <c r="M13" i="5" s="1"/>
  <c r="J13" i="5"/>
  <c r="L12" i="5"/>
  <c r="N12" i="5" s="1"/>
  <c r="J12" i="5"/>
  <c r="J25" i="2"/>
  <c r="L25" i="2" s="1"/>
  <c r="J24" i="2"/>
  <c r="L24" i="2" s="1"/>
  <c r="D62" i="2"/>
  <c r="J27" i="4"/>
  <c r="L27" i="4" s="1"/>
  <c r="M27" i="4" s="1"/>
  <c r="K25" i="4"/>
  <c r="J24" i="4"/>
  <c r="L24" i="4" s="1"/>
  <c r="M24" i="4" s="1"/>
  <c r="J25" i="4"/>
  <c r="J23" i="4"/>
  <c r="L23" i="4" s="1"/>
  <c r="M23" i="4" s="1"/>
  <c r="D19" i="4"/>
  <c r="J21" i="4"/>
  <c r="L21" i="4" s="1"/>
  <c r="M21" i="4" s="1"/>
  <c r="J20" i="4"/>
  <c r="L20" i="4" s="1"/>
  <c r="J19" i="4"/>
  <c r="L19" i="4" s="1"/>
  <c r="J13" i="4"/>
  <c r="L13" i="4" s="1"/>
  <c r="J14" i="4"/>
  <c r="L14" i="4" s="1"/>
  <c r="J15" i="4"/>
  <c r="J16" i="4"/>
  <c r="L16" i="4" s="1"/>
  <c r="J17" i="4"/>
  <c r="L17" i="4" s="1"/>
  <c r="J12" i="4"/>
  <c r="L12" i="4" s="1"/>
  <c r="J8" i="5"/>
  <c r="L8" i="5" s="1"/>
  <c r="J7" i="5"/>
  <c r="L7" i="5" s="1"/>
  <c r="J6" i="5"/>
  <c r="L6" i="5" s="1"/>
  <c r="J5" i="5"/>
  <c r="L5" i="5" s="1"/>
  <c r="J4" i="5"/>
  <c r="L4" i="5" s="1"/>
  <c r="J62" i="2"/>
  <c r="J63" i="2"/>
  <c r="L63" i="2" s="1"/>
  <c r="J64" i="2"/>
  <c r="L64" i="2" s="1"/>
  <c r="J65" i="2"/>
  <c r="L65" i="2" s="1"/>
  <c r="J66" i="2"/>
  <c r="L66" i="2" s="1"/>
  <c r="J67" i="2"/>
  <c r="L67" i="2" s="1"/>
  <c r="J58" i="2"/>
  <c r="L58" i="2" s="1"/>
  <c r="J46" i="2"/>
  <c r="L46" i="2" s="1"/>
  <c r="J47" i="2"/>
  <c r="L47" i="2" s="1"/>
  <c r="J48" i="2"/>
  <c r="L48" i="2" s="1"/>
  <c r="J49" i="2"/>
  <c r="J50" i="2"/>
  <c r="L50" i="2" s="1"/>
  <c r="J52" i="2"/>
  <c r="L52" i="2" s="1"/>
  <c r="J45" i="2"/>
  <c r="L45" i="2" s="1"/>
  <c r="J32" i="2"/>
  <c r="J35" i="2"/>
  <c r="L35" i="2" s="1"/>
  <c r="J36" i="2"/>
  <c r="L36" i="2" s="1"/>
  <c r="J37" i="2"/>
  <c r="L37" i="2" s="1"/>
  <c r="J38" i="2"/>
  <c r="L38" i="2" s="1"/>
  <c r="J39" i="2"/>
  <c r="L39" i="2" s="1"/>
  <c r="J31" i="2"/>
  <c r="L31" i="2" s="1"/>
  <c r="L20" i="2"/>
  <c r="J22" i="2"/>
  <c r="L22" i="2" s="1"/>
  <c r="M22" i="2" s="1"/>
  <c r="J21" i="2"/>
  <c r="L21" i="2" s="1"/>
  <c r="M21" i="2" s="1"/>
  <c r="I37" i="4"/>
  <c r="L34" i="4"/>
  <c r="N34" i="4" s="1"/>
  <c r="I31" i="4"/>
  <c r="I9" i="4"/>
  <c r="N5" i="4"/>
  <c r="J6" i="4"/>
  <c r="L6" i="4" s="1"/>
  <c r="L9" i="4" s="1"/>
  <c r="J9" i="5"/>
  <c r="L9" i="5" s="1"/>
  <c r="J4" i="2"/>
  <c r="J5" i="2"/>
  <c r="L5" i="2" s="1"/>
  <c r="J6" i="2"/>
  <c r="L6" i="2" s="1"/>
  <c r="M6" i="2" s="1"/>
  <c r="J7" i="2"/>
  <c r="L7" i="2" s="1"/>
  <c r="M7" i="2" s="1"/>
  <c r="J8" i="2"/>
  <c r="L8" i="2" s="1"/>
  <c r="N8" i="2" s="1"/>
  <c r="J9" i="2"/>
  <c r="L9" i="2" s="1"/>
  <c r="M9" i="2" s="1"/>
  <c r="J10" i="2"/>
  <c r="L10" i="2" s="1"/>
  <c r="M10" i="2" s="1"/>
  <c r="J11" i="2"/>
  <c r="L11" i="2" s="1"/>
  <c r="M11" i="2" s="1"/>
  <c r="D35" i="2"/>
  <c r="D31" i="2"/>
  <c r="D52" i="2"/>
  <c r="D45" i="2"/>
  <c r="I55" i="2"/>
  <c r="M12" i="5" l="1"/>
  <c r="L19" i="5"/>
  <c r="D6" i="1" s="1"/>
  <c r="N13" i="5"/>
  <c r="N25" i="2"/>
  <c r="M25" i="2"/>
  <c r="M4" i="3"/>
  <c r="N24" i="2"/>
  <c r="M24" i="2"/>
  <c r="L49" i="2"/>
  <c r="L55" i="2" s="1"/>
  <c r="N5" i="2"/>
  <c r="M5" i="2"/>
  <c r="N11" i="2"/>
  <c r="L32" i="2"/>
  <c r="L42" i="2" s="1"/>
  <c r="L62" i="2"/>
  <c r="N62" i="2" s="1"/>
  <c r="N7" i="2"/>
  <c r="N6" i="2"/>
  <c r="L4" i="2"/>
  <c r="L14" i="2" s="1"/>
  <c r="N10" i="2"/>
  <c r="N9" i="2"/>
  <c r="M8" i="2"/>
  <c r="I40" i="4"/>
  <c r="B5" i="1" s="1"/>
  <c r="C5" i="1" s="1"/>
  <c r="L25" i="4"/>
  <c r="M25" i="4" s="1"/>
  <c r="N23" i="4"/>
  <c r="N24" i="4"/>
  <c r="M17" i="4"/>
  <c r="M12" i="4"/>
  <c r="M34" i="4"/>
  <c r="L15" i="4"/>
  <c r="M19" i="4"/>
  <c r="M14" i="4"/>
  <c r="M20" i="4"/>
  <c r="M13" i="4"/>
  <c r="M16" i="4"/>
  <c r="M6" i="4"/>
  <c r="M4" i="4"/>
  <c r="M5" i="4"/>
  <c r="N4" i="4"/>
  <c r="M64" i="2"/>
  <c r="M39" i="2"/>
  <c r="M66" i="2"/>
  <c r="M52" i="2"/>
  <c r="M37" i="2"/>
  <c r="M67" i="2"/>
  <c r="N9" i="5"/>
  <c r="M9" i="5"/>
  <c r="M4" i="5"/>
  <c r="N4" i="5"/>
  <c r="N7" i="5"/>
  <c r="M7" i="5"/>
  <c r="N5" i="5"/>
  <c r="M5" i="5"/>
  <c r="M8" i="5"/>
  <c r="N8" i="5"/>
  <c r="M6" i="5"/>
  <c r="N6" i="5"/>
  <c r="N65" i="2"/>
  <c r="N63" i="2"/>
  <c r="M63" i="2"/>
  <c r="N64" i="2"/>
  <c r="M38" i="2"/>
  <c r="N38" i="2"/>
  <c r="N58" i="2"/>
  <c r="M58" i="2"/>
  <c r="N66" i="2"/>
  <c r="N67" i="2"/>
  <c r="N39" i="2"/>
  <c r="N19" i="5" l="1"/>
  <c r="M19" i="5"/>
  <c r="E6" i="1" s="1"/>
  <c r="D7" i="1"/>
  <c r="D8" i="1" s="1"/>
  <c r="N70" i="2"/>
  <c r="M62" i="2"/>
  <c r="M70" i="2" s="1"/>
  <c r="M4" i="2"/>
  <c r="M14" i="2" s="1"/>
  <c r="N4" i="2"/>
  <c r="N14" i="2" s="1"/>
  <c r="L31" i="4"/>
  <c r="D5" i="1" s="1"/>
  <c r="N25" i="4"/>
  <c r="N31" i="4" s="1"/>
  <c r="M15" i="4"/>
  <c r="M31" i="4" s="1"/>
  <c r="M40" i="4" s="1"/>
  <c r="E5" i="1" s="1"/>
  <c r="M65" i="2"/>
  <c r="N37" i="2"/>
  <c r="I28" i="2" l="1"/>
  <c r="N51" i="2" l="1"/>
  <c r="M51" i="2"/>
  <c r="N52" i="2"/>
  <c r="M46" i="2"/>
  <c r="N46" i="2"/>
  <c r="N47" i="2"/>
  <c r="M47" i="2"/>
  <c r="N48" i="2"/>
  <c r="M48" i="2"/>
  <c r="N49" i="2"/>
  <c r="M49" i="2"/>
  <c r="N50" i="2"/>
  <c r="M50" i="2"/>
  <c r="M31" i="2"/>
  <c r="N31" i="2"/>
  <c r="N35" i="2"/>
  <c r="M35" i="2"/>
  <c r="N36" i="2"/>
  <c r="M36" i="2"/>
  <c r="M20" i="2"/>
  <c r="M28" i="2" s="1"/>
  <c r="N45" i="2" l="1"/>
  <c r="N55" i="2" s="1"/>
  <c r="M45" i="2"/>
  <c r="M55" i="2" s="1"/>
  <c r="N32" i="2"/>
  <c r="N42" i="2" s="1"/>
  <c r="M32" i="2"/>
  <c r="M42" i="2" s="1"/>
  <c r="M72" i="2" s="1"/>
  <c r="E7" i="1" s="1"/>
  <c r="E8" i="1" s="1"/>
  <c r="N20" i="2"/>
  <c r="N28" i="2" s="1"/>
  <c r="N72" i="2" l="1"/>
  <c r="I14" i="2"/>
  <c r="D4" i="2" l="1"/>
  <c r="I72" i="2"/>
  <c r="B7" i="1" s="1"/>
  <c r="B8" i="1" s="1"/>
  <c r="C7" i="1" l="1"/>
  <c r="C8" i="1" s="1"/>
</calcChain>
</file>

<file path=xl/sharedStrings.xml><?xml version="1.0" encoding="utf-8"?>
<sst xmlns="http://schemas.openxmlformats.org/spreadsheetml/2006/main" count="590" uniqueCount="239">
  <si>
    <t>OMRÅDENAVN</t>
  </si>
  <si>
    <t>PLANNAVN</t>
  </si>
  <si>
    <t>KOMMUNEPLANSTATUS</t>
  </si>
  <si>
    <t>UTNYTTELSE</t>
  </si>
  <si>
    <t>HØYDE</t>
  </si>
  <si>
    <t>FORMÅL</t>
  </si>
  <si>
    <t xml:space="preserve">OMRÅDE </t>
  </si>
  <si>
    <t>STATUS</t>
  </si>
  <si>
    <t xml:space="preserve">Eggemoen </t>
  </si>
  <si>
    <t>18 m</t>
  </si>
  <si>
    <t>50 % BYA</t>
  </si>
  <si>
    <t>BKB6</t>
  </si>
  <si>
    <t>BKB1</t>
  </si>
  <si>
    <t>BKB7</t>
  </si>
  <si>
    <t>BKB4</t>
  </si>
  <si>
    <t>BKB2</t>
  </si>
  <si>
    <t>BKB8</t>
  </si>
  <si>
    <t>BKB3</t>
  </si>
  <si>
    <t>BKB5</t>
  </si>
  <si>
    <t>UTVIKLINGSAREAL TOTALT</t>
  </si>
  <si>
    <t xml:space="preserve">Kontor/industri </t>
  </si>
  <si>
    <t>* Kontor/industri/flyplassrelatert virksomhet/ overnatting/bevertning</t>
  </si>
  <si>
    <t>Kontor/industri *</t>
  </si>
  <si>
    <t xml:space="preserve">Industri </t>
  </si>
  <si>
    <t>H570 verneverdig bebyggelse</t>
  </si>
  <si>
    <t xml:space="preserve">Byggeklart </t>
  </si>
  <si>
    <t>FRATREKK OPPFØRTE BYGG daa/BYA</t>
  </si>
  <si>
    <t>Totalt ledig BYA</t>
  </si>
  <si>
    <t>LEDIG BYA m2</t>
  </si>
  <si>
    <t>BYGNINGSMASSE TO ETASJER m2</t>
  </si>
  <si>
    <t>BYGNINGSMASSE TRE ETASJER m2</t>
  </si>
  <si>
    <t>REGULERT UTBYGGINGS-AREAL daa</t>
  </si>
  <si>
    <t>Tot REGULERT utbyggingsareal</t>
  </si>
  <si>
    <t>367 Eggemoen aviation</t>
  </si>
  <si>
    <t xml:space="preserve">and technology park </t>
  </si>
  <si>
    <t xml:space="preserve">ANDRE FORHOLD </t>
  </si>
  <si>
    <t>Industri og lager</t>
  </si>
  <si>
    <t>30 % BYA</t>
  </si>
  <si>
    <t>9 m</t>
  </si>
  <si>
    <t xml:space="preserve">Hvervenmoen </t>
  </si>
  <si>
    <t>Hensmoen</t>
  </si>
  <si>
    <t xml:space="preserve">150-05 Hensmoen </t>
  </si>
  <si>
    <t xml:space="preserve">53 Hensmoen </t>
  </si>
  <si>
    <t>BIN 1</t>
  </si>
  <si>
    <t>BIN7</t>
  </si>
  <si>
    <t>Kilemoen/</t>
  </si>
  <si>
    <t>Follummoen</t>
  </si>
  <si>
    <t>191-02 Nedre Kilemoen 2</t>
  </si>
  <si>
    <t>191 Nedre Kilemoen 2</t>
  </si>
  <si>
    <t>Treklyngen</t>
  </si>
  <si>
    <t>381 Treklyngen</t>
  </si>
  <si>
    <t>343 Follum</t>
  </si>
  <si>
    <t xml:space="preserve">Industri og lager </t>
  </si>
  <si>
    <t>I/L1</t>
  </si>
  <si>
    <t>I/L2</t>
  </si>
  <si>
    <t>I/L3</t>
  </si>
  <si>
    <t>I/L4</t>
  </si>
  <si>
    <t>I/L5</t>
  </si>
  <si>
    <t>I/L6</t>
  </si>
  <si>
    <t>25 % BYA</t>
  </si>
  <si>
    <t>Kommentar</t>
  </si>
  <si>
    <t xml:space="preserve">Bør oppregulerer tillatt BYA og høyde </t>
  </si>
  <si>
    <t xml:space="preserve">P.S. pågående planprosess i området </t>
  </si>
  <si>
    <t xml:space="preserve">Industri- og lager </t>
  </si>
  <si>
    <t>9 M</t>
  </si>
  <si>
    <t>Flere eiendommer solgt</t>
  </si>
  <si>
    <t>Solgte tomter</t>
  </si>
  <si>
    <t>Noen solgte tomter</t>
  </si>
  <si>
    <t>ca. 3 600 m2 bebygget på tomt 10og 11</t>
  </si>
  <si>
    <t>Industri</t>
  </si>
  <si>
    <t>I</t>
  </si>
  <si>
    <t xml:space="preserve">Pågående ny regulering på området </t>
  </si>
  <si>
    <t>med tilhørende forretning</t>
  </si>
  <si>
    <t>Byggeklart</t>
  </si>
  <si>
    <t>tilhørende kontorlokaler</t>
  </si>
  <si>
    <t xml:space="preserve">Industri med lager og </t>
  </si>
  <si>
    <t>30 % BYA*</t>
  </si>
  <si>
    <t>271/337</t>
  </si>
  <si>
    <t>271/336</t>
  </si>
  <si>
    <t>271/335</t>
  </si>
  <si>
    <t>271/341</t>
  </si>
  <si>
    <t>271/236</t>
  </si>
  <si>
    <t>Områdereguelring, detaljreguelringer i prosess (to stk)</t>
  </si>
  <si>
    <t>Områderegulert</t>
  </si>
  <si>
    <t xml:space="preserve">Industri, lager med </t>
  </si>
  <si>
    <t xml:space="preserve">tilhørende kontorer og </t>
  </si>
  <si>
    <t xml:space="preserve">anlegg </t>
  </si>
  <si>
    <t>30 m</t>
  </si>
  <si>
    <t>Næringsbebyggelse</t>
  </si>
  <si>
    <t>N1</t>
  </si>
  <si>
    <t>N2</t>
  </si>
  <si>
    <t xml:space="preserve">N3 </t>
  </si>
  <si>
    <t>I4</t>
  </si>
  <si>
    <t>Næringsvirksomhet</t>
  </si>
  <si>
    <t xml:space="preserve">Deler med opsjon/solgt til aktør </t>
  </si>
  <si>
    <t>Plankrav</t>
  </si>
  <si>
    <t>I1-I3</t>
  </si>
  <si>
    <t>I5</t>
  </si>
  <si>
    <t>Industri, deponi</t>
  </si>
  <si>
    <t>20-30 m</t>
  </si>
  <si>
    <t>20 m</t>
  </si>
  <si>
    <t xml:space="preserve">347-01 Hvervenmoen </t>
  </si>
  <si>
    <t>439 Hvervenkastet</t>
  </si>
  <si>
    <t>Næring/forretning</t>
  </si>
  <si>
    <t>Næring</t>
  </si>
  <si>
    <t xml:space="preserve">Næring </t>
  </si>
  <si>
    <t xml:space="preserve">Under reguelring </t>
  </si>
  <si>
    <t>Forretninger</t>
  </si>
  <si>
    <t>Bevertning</t>
  </si>
  <si>
    <t>Bensinstasjon/vergserviceanlegg</t>
  </si>
  <si>
    <t>BF1</t>
  </si>
  <si>
    <t>BB1</t>
  </si>
  <si>
    <t>BV1</t>
  </si>
  <si>
    <t>60 % BYA</t>
  </si>
  <si>
    <t>15 % BYA</t>
  </si>
  <si>
    <t>6 700 m2</t>
  </si>
  <si>
    <t>BYA</t>
  </si>
  <si>
    <t>Sysle</t>
  </si>
  <si>
    <t xml:space="preserve">Næringsvirksomhet </t>
  </si>
  <si>
    <t>74/118</t>
  </si>
  <si>
    <t>Uregulert</t>
  </si>
  <si>
    <t>74/165</t>
  </si>
  <si>
    <t>Sysle sentrum</t>
  </si>
  <si>
    <t xml:space="preserve">7 m </t>
  </si>
  <si>
    <t>Bygggeklart</t>
  </si>
  <si>
    <t xml:space="preserve">Holemoen </t>
  </si>
  <si>
    <t xml:space="preserve">Vikersund </t>
  </si>
  <si>
    <t xml:space="preserve">Vikersund næringspark </t>
  </si>
  <si>
    <t>Geithus</t>
  </si>
  <si>
    <t>Katfosområdet</t>
  </si>
  <si>
    <t>Helgelandsmoen</t>
  </si>
  <si>
    <t>Vurdere å ikke vise da det er fult utnyttet</t>
  </si>
  <si>
    <t>Helgelandsmoen næringspark</t>
  </si>
  <si>
    <t xml:space="preserve">Industri lager </t>
  </si>
  <si>
    <t>73500 m2/BRA</t>
  </si>
  <si>
    <t>Ledig BYA</t>
  </si>
  <si>
    <t>Hotell/kontor</t>
  </si>
  <si>
    <t>K1</t>
  </si>
  <si>
    <t>23900 m2/BRA</t>
  </si>
  <si>
    <t xml:space="preserve">Industri/kontor </t>
  </si>
  <si>
    <t>K7</t>
  </si>
  <si>
    <t>10800 m2/BRA</t>
  </si>
  <si>
    <t xml:space="preserve">Hotell/kontor </t>
  </si>
  <si>
    <t>K2</t>
  </si>
  <si>
    <t>24600 m2/BRA</t>
  </si>
  <si>
    <t>Kontor/forretning</t>
  </si>
  <si>
    <t>K3</t>
  </si>
  <si>
    <t>7100 m2/BRA</t>
  </si>
  <si>
    <t>erverv E16</t>
  </si>
  <si>
    <t>Ubebygd</t>
  </si>
  <si>
    <t xml:space="preserve">Modum </t>
  </si>
  <si>
    <t>Kontor/industri</t>
  </si>
  <si>
    <t>K/I-1</t>
  </si>
  <si>
    <t>I-1</t>
  </si>
  <si>
    <t>I-2</t>
  </si>
  <si>
    <t>I-3</t>
  </si>
  <si>
    <t>I-4</t>
  </si>
  <si>
    <t>I-5</t>
  </si>
  <si>
    <t>FRATREKK OPPFØRTE BYGG m2/BYA</t>
  </si>
  <si>
    <t>Plankart i kartløsning samsvarer ikke med vedtatt plan</t>
  </si>
  <si>
    <t>Sundvollen</t>
  </si>
  <si>
    <t xml:space="preserve">Nedmarken industriområde - søndre del </t>
  </si>
  <si>
    <t xml:space="preserve">Nedmarken industriområde </t>
  </si>
  <si>
    <t>88/424</t>
  </si>
  <si>
    <t>88/367</t>
  </si>
  <si>
    <t>88/471</t>
  </si>
  <si>
    <t>10 m</t>
  </si>
  <si>
    <t>Vikermyra</t>
  </si>
  <si>
    <t>N/I 1</t>
  </si>
  <si>
    <t>N/I 2</t>
  </si>
  <si>
    <t>N/I 3</t>
  </si>
  <si>
    <t>Næring og industri</t>
  </si>
  <si>
    <t>12 m</t>
  </si>
  <si>
    <t>Antatt til bruk for grunneier</t>
  </si>
  <si>
    <t>Katfos</t>
  </si>
  <si>
    <t xml:space="preserve">Ihlen </t>
  </si>
  <si>
    <t>34/78</t>
  </si>
  <si>
    <t>Mangler bestemmelser i kartløsning</t>
  </si>
  <si>
    <t>Sum</t>
  </si>
  <si>
    <t>Regulert næringsareal daa</t>
  </si>
  <si>
    <t>Regulert næringsareal m2</t>
  </si>
  <si>
    <t>Eksisterende fabrikområde, anslått bygnignsmasse</t>
  </si>
  <si>
    <t>BK3</t>
  </si>
  <si>
    <t>Kontor</t>
  </si>
  <si>
    <t>BK1</t>
  </si>
  <si>
    <t>Sundvollen næringspark (Trøgsle)</t>
  </si>
  <si>
    <t>231/263</t>
  </si>
  <si>
    <t>231/261</t>
  </si>
  <si>
    <t>REGULERT UTBYGGINGS-AREAL m2</t>
  </si>
  <si>
    <t>Sollihøgda</t>
  </si>
  <si>
    <t>Lerfaldet Næringsområde</t>
  </si>
  <si>
    <t>I1</t>
  </si>
  <si>
    <t>I2</t>
  </si>
  <si>
    <t>11 m</t>
  </si>
  <si>
    <t>Krødsherad</t>
  </si>
  <si>
    <t xml:space="preserve">Området R - Krøderen </t>
  </si>
  <si>
    <t>R4</t>
  </si>
  <si>
    <t>R5</t>
  </si>
  <si>
    <t>lager/kontor/service</t>
  </si>
  <si>
    <t xml:space="preserve">Områdereguelring for Slettemoen </t>
  </si>
  <si>
    <t>Industri/håndverk/lager</t>
  </si>
  <si>
    <t>Plankrav - detaljregulering</t>
  </si>
  <si>
    <t>K4-K6</t>
  </si>
  <si>
    <t xml:space="preserve">Bergermoen </t>
  </si>
  <si>
    <t>BERGERMOEN del 1</t>
  </si>
  <si>
    <t>Tomter ferdig utnyttet.</t>
  </si>
  <si>
    <t>BERGERMOEN del 2</t>
  </si>
  <si>
    <t>i-1</t>
  </si>
  <si>
    <t>BEGRERMOEN VEST DEL 2</t>
  </si>
  <si>
    <t>i-9</t>
  </si>
  <si>
    <t>-</t>
  </si>
  <si>
    <t>i-8</t>
  </si>
  <si>
    <t>i-7</t>
  </si>
  <si>
    <t>i-6</t>
  </si>
  <si>
    <t>Forretninger/kontor</t>
  </si>
  <si>
    <t>S-1</t>
  </si>
  <si>
    <t>Bergermoen Næringspark</t>
  </si>
  <si>
    <t>Industri/lager</t>
  </si>
  <si>
    <t>IL1</t>
  </si>
  <si>
    <t>IL2</t>
  </si>
  <si>
    <t>IL3</t>
  </si>
  <si>
    <t>IL4</t>
  </si>
  <si>
    <t>Masseuttak</t>
  </si>
  <si>
    <t>Mangler infrastruktur</t>
  </si>
  <si>
    <t xml:space="preserve">Jevnaker </t>
  </si>
  <si>
    <t>Hole</t>
  </si>
  <si>
    <t xml:space="preserve">Ringerike </t>
  </si>
  <si>
    <t>Totalt</t>
  </si>
  <si>
    <t>Næringsoveriskt - ledig BYA i Ringeriksregionen</t>
  </si>
  <si>
    <t>Jevnaker</t>
  </si>
  <si>
    <t>Modum</t>
  </si>
  <si>
    <t>Ringerike</t>
  </si>
  <si>
    <t>Næringsvirksbebyggelse</t>
  </si>
  <si>
    <t>Masseuttak før bygging</t>
  </si>
  <si>
    <t>Bebygde eiendommer</t>
  </si>
  <si>
    <t xml:space="preserve">FRATREKK OPPFØRTE BYGG </t>
  </si>
  <si>
    <t>Ledig areal to etasjer</t>
  </si>
  <si>
    <t xml:space="preserve">Kombinert bebyggelse og anleggsformål </t>
  </si>
  <si>
    <t>Disp.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</si>
</sst>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&quot;$&quot;#,##0.00"/>
    <numFmt numFmtId="165" formatCode="&quot;kr&quot;\ #,##0.00"/>
    <numFmt numFmtId="166" formatCode="#,##0.00_ ;\-#,##0.00\ "/>
    <numFmt numFmtId="167" formatCode="_-* #,##0.0_-;\-* #,##0.0_-;_-* &quot;-&quot;??_-;_-@_-"/>
    <numFmt numFmtId="168" formatCode="_-* #,##0_-;\-* #,##0_-;_-* &quot;-&quot;??_-;_-@_-"/>
    <numFmt numFmtId="169" formatCode="0.0"/>
    <numFmt numFmtId="170" formatCode="_-* #,##0.0_-;\-* #,##0.0_-;_-* &quot;-&quot;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808073"/>
      <name val="Arial"/>
      <family val="2"/>
    </font>
    <font>
      <b/>
      <sz val="10"/>
      <color rgb="FF808073"/>
      <name val="IBM Plex Sans"/>
      <family val="2"/>
    </font>
    <font>
      <sz val="11"/>
      <color theme="1"/>
      <name val="IBM Plex Sans"/>
      <family val="2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i/>
      <sz val="10"/>
      <color theme="1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sz val="10"/>
      <color rgb="FF7F7F7F"/>
      <name val="IBM Plex Sans"/>
      <family val="2"/>
    </font>
    <font>
      <b/>
      <sz val="10"/>
      <color theme="0"/>
      <name val="IBM Plex Sans"/>
      <family val="2"/>
    </font>
    <font>
      <sz val="10"/>
      <color theme="0"/>
      <name val="IBM Plex Sans"/>
      <family val="2"/>
    </font>
    <font>
      <i/>
      <sz val="10"/>
      <color rgb="FF7F7F7F"/>
      <name val="IBM Plex Sans"/>
      <family val="2"/>
    </font>
    <font>
      <sz val="10"/>
      <color rgb="FFD18A4E"/>
      <name val="IBM Plex Sans"/>
      <family val="2"/>
    </font>
    <font>
      <sz val="10"/>
      <color rgb="FF14283C"/>
      <name val="IBM Plex Sans"/>
      <family val="2"/>
    </font>
    <font>
      <b/>
      <sz val="8"/>
      <color rgb="FF4E4F4B"/>
      <name val="IBM Plex Sans"/>
      <family val="2"/>
    </font>
    <font>
      <b/>
      <sz val="11"/>
      <color rgb="FF4E4F4B"/>
      <name val="IBM Plex Sans"/>
      <family val="2"/>
    </font>
    <font>
      <b/>
      <sz val="10"/>
      <color rgb="FFFF0000"/>
      <name val="IBM Plex Sans"/>
      <family val="2"/>
    </font>
    <font>
      <sz val="10"/>
      <color theme="1"/>
      <name val="IBM Plex Sans Light"/>
      <family val="2"/>
    </font>
    <font>
      <sz val="10"/>
      <color rgb="FFFF0000"/>
      <name val="IBM Plex Sans"/>
      <family val="2"/>
    </font>
    <font>
      <i/>
      <sz val="10"/>
      <color rgb="FFFF0000"/>
      <name val="IBM Plex Sans"/>
      <family val="2"/>
    </font>
    <font>
      <sz val="11"/>
      <color rgb="FFFF0000"/>
      <name val="Arial"/>
      <family val="2"/>
    </font>
    <font>
      <sz val="11"/>
      <color rgb="FFFF0000"/>
      <name val="IBM Plex Sans"/>
      <family val="2"/>
    </font>
    <font>
      <b/>
      <sz val="11"/>
      <color rgb="FFFF0000"/>
      <name val="IBM Plex Sans"/>
      <family val="2"/>
    </font>
    <font>
      <b/>
      <sz val="10"/>
      <name val="IBM Plex Sans"/>
      <family val="2"/>
    </font>
    <font>
      <i/>
      <sz val="10"/>
      <name val="IBM Plex Sans"/>
      <family val="2"/>
    </font>
    <font>
      <b/>
      <i/>
      <sz val="10"/>
      <color theme="1"/>
      <name val="IBM Plex Sans"/>
      <family val="2"/>
    </font>
    <font>
      <sz val="8"/>
      <name val="Arial"/>
      <family val="2"/>
    </font>
    <font>
      <b/>
      <sz val="10"/>
      <color theme="1"/>
      <name val="IBM Plex Sans Light"/>
      <family val="2"/>
    </font>
    <font>
      <b/>
      <sz val="10"/>
      <color rgb="FF000000"/>
      <name val="IBM Plex Sans"/>
      <family val="2"/>
    </font>
    <font>
      <sz val="11"/>
      <color rgb="FF000000"/>
      <name val="IBM Plex Sans"/>
      <family val="2"/>
    </font>
    <font>
      <i/>
      <sz val="10"/>
      <color rgb="FF000000"/>
      <name val="IBM Plex Sans"/>
      <family val="2"/>
    </font>
    <font>
      <sz val="10"/>
      <color rgb="FFFFFFFF"/>
      <name val="IBM Plex Sans"/>
      <family val="2"/>
    </font>
    <font>
      <b/>
      <sz val="10"/>
      <color rgb="FFFFFFFF"/>
      <name val="IBM Plex Sans"/>
      <family val="2"/>
    </font>
    <font>
      <b/>
      <sz val="11"/>
      <color theme="1"/>
      <name val="IBM Plex Sans"/>
      <family val="2"/>
    </font>
    <font>
      <sz val="14"/>
      <color theme="1"/>
      <name val="Akkurat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FE3A3"/>
        <bgColor indexed="64"/>
      </patternFill>
    </fill>
    <fill>
      <patternFill patternType="solid">
        <fgColor rgb="FF808073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FE3A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808073"/>
        <bgColor rgb="FF000000"/>
      </patternFill>
    </fill>
  </fills>
  <borders count="6">
    <border>
      <left/>
      <right/>
      <top/>
      <bottom/>
      <diagonal/>
    </border>
    <border>
      <left/>
      <right/>
      <top style="thin">
        <color rgb="FFB8B9B5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85">
    <xf numFmtId="0" fontId="0" fillId="0" borderId="0" xfId="0"/>
    <xf numFmtId="0" fontId="0" fillId="0" borderId="2" xfId="0" applyBorder="1" applyAlignment="1"/>
    <xf numFmtId="168" fontId="0" fillId="0" borderId="0" xfId="1" applyNumberFormat="1" applyFont="1"/>
    <xf numFmtId="0" fontId="6" fillId="3" borderId="2" xfId="2" applyFont="1" applyFill="1" applyBorder="1" applyAlignment="1">
      <alignment horizontal="left"/>
    </xf>
    <xf numFmtId="164" fontId="6" fillId="3" borderId="2" xfId="2" applyNumberFormat="1" applyFont="1" applyFill="1" applyBorder="1" applyAlignment="1">
      <alignment horizontal="left"/>
    </xf>
    <xf numFmtId="164" fontId="6" fillId="3" borderId="2" xfId="2" applyNumberFormat="1" applyFont="1" applyFill="1" applyBorder="1" applyAlignment="1">
      <alignment horizontal="left" wrapText="1"/>
    </xf>
    <xf numFmtId="168" fontId="6" fillId="3" borderId="2" xfId="1" applyNumberFormat="1" applyFont="1" applyFill="1" applyBorder="1" applyAlignment="1">
      <alignment horizontal="left" wrapText="1"/>
    </xf>
    <xf numFmtId="164" fontId="6" fillId="3" borderId="2" xfId="2" applyNumberFormat="1" applyFont="1" applyFill="1" applyBorder="1" applyAlignment="1">
      <alignment horizontal="center" wrapText="1"/>
    </xf>
    <xf numFmtId="0" fontId="7" fillId="3" borderId="2" xfId="0" applyFont="1" applyFill="1" applyBorder="1"/>
    <xf numFmtId="0" fontId="8" fillId="2" borderId="0" xfId="0" applyFont="1" applyFill="1"/>
    <xf numFmtId="0" fontId="9" fillId="2" borderId="0" xfId="0" applyFont="1" applyFill="1"/>
    <xf numFmtId="2" fontId="9" fillId="2" borderId="0" xfId="0" applyNumberFormat="1" applyFont="1" applyFill="1"/>
    <xf numFmtId="168" fontId="8" fillId="4" borderId="3" xfId="1" applyNumberFormat="1" applyFont="1" applyFill="1" applyBorder="1"/>
    <xf numFmtId="43" fontId="10" fillId="2" borderId="0" xfId="1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vertical="center"/>
    </xf>
    <xf numFmtId="2" fontId="12" fillId="2" borderId="0" xfId="0" applyNumberFormat="1" applyFont="1" applyFill="1" applyAlignment="1">
      <alignment vertical="center"/>
    </xf>
    <xf numFmtId="10" fontId="13" fillId="2" borderId="0" xfId="3" applyNumberFormat="1" applyFont="1" applyFill="1" applyBorder="1" applyAlignment="1">
      <alignment vertical="center"/>
    </xf>
    <xf numFmtId="0" fontId="13" fillId="2" borderId="0" xfId="3" applyNumberFormat="1" applyFont="1" applyFill="1" applyBorder="1" applyAlignment="1">
      <alignment vertical="center"/>
    </xf>
    <xf numFmtId="165" fontId="13" fillId="2" borderId="0" xfId="3" applyNumberFormat="1" applyFont="1" applyFill="1" applyBorder="1" applyAlignment="1">
      <alignment vertical="center"/>
    </xf>
    <xf numFmtId="168" fontId="15" fillId="2" borderId="0" xfId="1" applyNumberFormat="1" applyFont="1" applyFill="1"/>
    <xf numFmtId="43" fontId="9" fillId="2" borderId="0" xfId="0" applyNumberFormat="1" applyFont="1" applyFill="1"/>
    <xf numFmtId="0" fontId="16" fillId="2" borderId="0" xfId="3" applyFont="1" applyFill="1"/>
    <xf numFmtId="167" fontId="9" fillId="2" borderId="0" xfId="1" applyNumberFormat="1" applyFont="1" applyFill="1"/>
    <xf numFmtId="168" fontId="9" fillId="2" borderId="0" xfId="1" applyNumberFormat="1" applyFont="1" applyFill="1"/>
    <xf numFmtId="164" fontId="17" fillId="2" borderId="2" xfId="2" applyNumberFormat="1" applyFont="1" applyFill="1" applyBorder="1" applyAlignment="1"/>
    <xf numFmtId="0" fontId="9" fillId="2" borderId="2" xfId="0" applyFont="1" applyFill="1" applyBorder="1" applyAlignment="1"/>
    <xf numFmtId="0" fontId="17" fillId="2" borderId="2" xfId="2" applyFont="1" applyFill="1" applyBorder="1" applyAlignment="1"/>
    <xf numFmtId="164" fontId="18" fillId="2" borderId="2" xfId="2" applyNumberFormat="1" applyFont="1" applyFill="1" applyBorder="1" applyAlignment="1"/>
    <xf numFmtId="167" fontId="18" fillId="2" borderId="2" xfId="1" applyNumberFormat="1" applyFont="1" applyFill="1" applyBorder="1" applyAlignment="1"/>
    <xf numFmtId="168" fontId="18" fillId="2" borderId="2" xfId="1" applyNumberFormat="1" applyFont="1" applyFill="1" applyBorder="1" applyAlignment="1"/>
    <xf numFmtId="0" fontId="14" fillId="5" borderId="0" xfId="0" applyFont="1" applyFill="1" applyBorder="1" applyAlignment="1">
      <alignment horizontal="left"/>
    </xf>
    <xf numFmtId="0" fontId="15" fillId="5" borderId="0" xfId="0" applyFont="1" applyFill="1"/>
    <xf numFmtId="0" fontId="14" fillId="5" borderId="0" xfId="0" applyFont="1" applyFill="1" applyBorder="1" applyAlignment="1">
      <alignment horizontal="left" vertical="center"/>
    </xf>
    <xf numFmtId="164" fontId="14" fillId="5" borderId="0" xfId="0" applyNumberFormat="1" applyFont="1" applyFill="1" applyBorder="1" applyAlignment="1">
      <alignment horizontal="left"/>
    </xf>
    <xf numFmtId="166" fontId="14" fillId="5" borderId="0" xfId="1" applyNumberFormat="1" applyFont="1" applyFill="1" applyBorder="1" applyAlignment="1">
      <alignment horizontal="right"/>
    </xf>
    <xf numFmtId="167" fontId="14" fillId="5" borderId="0" xfId="1" applyNumberFormat="1" applyFont="1" applyFill="1" applyBorder="1" applyAlignment="1">
      <alignment horizontal="right"/>
    </xf>
    <xf numFmtId="168" fontId="14" fillId="5" borderId="0" xfId="1" applyNumberFormat="1" applyFont="1" applyFill="1" applyBorder="1" applyAlignment="1">
      <alignment horizontal="right"/>
    </xf>
    <xf numFmtId="165" fontId="14" fillId="5" borderId="0" xfId="0" applyNumberFormat="1" applyFont="1" applyFill="1" applyBorder="1" applyAlignment="1">
      <alignment horizontal="right"/>
    </xf>
    <xf numFmtId="0" fontId="7" fillId="2" borderId="0" xfId="0" applyFont="1" applyFill="1"/>
    <xf numFmtId="168" fontId="7" fillId="2" borderId="0" xfId="1" applyNumberFormat="1" applyFont="1" applyFill="1"/>
    <xf numFmtId="0" fontId="19" fillId="0" borderId="1" xfId="0" applyFont="1" applyBorder="1" applyAlignment="1">
      <alignment horizontal="left"/>
    </xf>
    <xf numFmtId="0" fontId="7" fillId="0" borderId="0" xfId="0" applyFont="1"/>
    <xf numFmtId="0" fontId="19" fillId="0" borderId="1" xfId="0" applyFont="1" applyBorder="1" applyAlignment="1">
      <alignment horizontal="left" vertical="center"/>
    </xf>
    <xf numFmtId="164" fontId="19" fillId="0" borderId="1" xfId="0" applyNumberFormat="1" applyFont="1" applyBorder="1" applyAlignment="1">
      <alignment horizontal="left"/>
    </xf>
    <xf numFmtId="166" fontId="20" fillId="0" borderId="1" xfId="1" applyNumberFormat="1" applyFont="1" applyBorder="1" applyAlignment="1">
      <alignment horizontal="right"/>
    </xf>
    <xf numFmtId="168" fontId="20" fillId="0" borderId="1" xfId="1" applyNumberFormat="1" applyFont="1" applyBorder="1" applyAlignment="1">
      <alignment horizontal="right"/>
    </xf>
    <xf numFmtId="165" fontId="20" fillId="0" borderId="1" xfId="0" applyNumberFormat="1" applyFont="1" applyBorder="1" applyAlignment="1">
      <alignment horizontal="right"/>
    </xf>
    <xf numFmtId="168" fontId="7" fillId="0" borderId="0" xfId="1" applyNumberFormat="1" applyFont="1"/>
    <xf numFmtId="169" fontId="9" fillId="2" borderId="0" xfId="0" applyNumberFormat="1" applyFont="1" applyFill="1"/>
    <xf numFmtId="2" fontId="8" fillId="2" borderId="0" xfId="0" applyNumberFormat="1" applyFont="1" applyFill="1"/>
    <xf numFmtId="0" fontId="22" fillId="2" borderId="0" xfId="0" applyFont="1" applyFill="1"/>
    <xf numFmtId="0" fontId="23" fillId="2" borderId="0" xfId="0" applyFont="1" applyFill="1"/>
    <xf numFmtId="2" fontId="23" fillId="2" borderId="0" xfId="0" applyNumberFormat="1" applyFont="1" applyFill="1"/>
    <xf numFmtId="43" fontId="24" fillId="2" borderId="0" xfId="1" applyFont="1" applyFill="1"/>
    <xf numFmtId="0" fontId="24" fillId="2" borderId="0" xfId="0" applyFont="1" applyFill="1"/>
    <xf numFmtId="0" fontId="9" fillId="0" borderId="0" xfId="0" applyFont="1" applyAlignment="1">
      <alignment horizontal="left"/>
    </xf>
    <xf numFmtId="0" fontId="0" fillId="2" borderId="0" xfId="0" applyFill="1"/>
    <xf numFmtId="0" fontId="25" fillId="0" borderId="0" xfId="0" applyFont="1"/>
    <xf numFmtId="164" fontId="23" fillId="2" borderId="2" xfId="2" applyNumberFormat="1" applyFont="1" applyFill="1" applyBorder="1" applyAlignment="1"/>
    <xf numFmtId="166" fontId="21" fillId="5" borderId="0" xfId="1" applyNumberFormat="1" applyFont="1" applyFill="1" applyBorder="1" applyAlignment="1">
      <alignment horizontal="right"/>
    </xf>
    <xf numFmtId="0" fontId="26" fillId="2" borderId="0" xfId="0" applyFont="1" applyFill="1"/>
    <xf numFmtId="166" fontId="27" fillId="0" borderId="1" xfId="1" applyNumberFormat="1" applyFont="1" applyBorder="1" applyAlignment="1">
      <alignment horizontal="right"/>
    </xf>
    <xf numFmtId="0" fontId="26" fillId="0" borderId="0" xfId="0" applyFont="1"/>
    <xf numFmtId="164" fontId="28" fillId="3" borderId="2" xfId="2" applyNumberFormat="1" applyFont="1" applyFill="1" applyBorder="1" applyAlignment="1">
      <alignment horizontal="left" wrapText="1"/>
    </xf>
    <xf numFmtId="167" fontId="8" fillId="4" borderId="0" xfId="1" applyNumberFormat="1" applyFont="1" applyFill="1"/>
    <xf numFmtId="2" fontId="11" fillId="2" borderId="0" xfId="0" applyNumberFormat="1" applyFont="1" applyFill="1"/>
    <xf numFmtId="0" fontId="6" fillId="3" borderId="2" xfId="2" applyFont="1" applyFill="1" applyBorder="1" applyAlignment="1"/>
    <xf numFmtId="164" fontId="6" fillId="3" borderId="2" xfId="2" applyNumberFormat="1" applyFont="1" applyFill="1" applyBorder="1" applyAlignment="1"/>
    <xf numFmtId="164" fontId="6" fillId="3" borderId="2" xfId="2" applyNumberFormat="1" applyFont="1" applyFill="1" applyBorder="1" applyAlignment="1">
      <alignment wrapText="1"/>
    </xf>
    <xf numFmtId="164" fontId="28" fillId="3" borderId="2" xfId="2" applyNumberFormat="1" applyFont="1" applyFill="1" applyBorder="1" applyAlignment="1">
      <alignment wrapText="1"/>
    </xf>
    <xf numFmtId="167" fontId="6" fillId="3" borderId="2" xfId="1" applyNumberFormat="1" applyFont="1" applyFill="1" applyBorder="1" applyAlignment="1">
      <alignment wrapText="1"/>
    </xf>
    <xf numFmtId="9" fontId="9" fillId="2" borderId="0" xfId="0" applyNumberFormat="1" applyFont="1" applyFill="1"/>
    <xf numFmtId="2" fontId="10" fillId="2" borderId="0" xfId="0" applyNumberFormat="1" applyFont="1" applyFill="1"/>
    <xf numFmtId="2" fontId="29" fillId="2" borderId="0" xfId="0" applyNumberFormat="1" applyFont="1" applyFill="1"/>
    <xf numFmtId="167" fontId="30" fillId="4" borderId="0" xfId="1" applyNumberFormat="1" applyFont="1" applyFill="1"/>
    <xf numFmtId="164" fontId="11" fillId="2" borderId="2" xfId="2" applyNumberFormat="1" applyFont="1" applyFill="1" applyBorder="1" applyAlignment="1"/>
    <xf numFmtId="166" fontId="28" fillId="5" borderId="0" xfId="1" applyNumberFormat="1" applyFont="1" applyFill="1" applyBorder="1" applyAlignment="1">
      <alignment horizontal="right"/>
    </xf>
    <xf numFmtId="169" fontId="11" fillId="2" borderId="0" xfId="0" applyNumberFormat="1" applyFont="1" applyFill="1"/>
    <xf numFmtId="168" fontId="28" fillId="4" borderId="3" xfId="1" applyNumberFormat="1" applyFont="1" applyFill="1" applyBorder="1"/>
    <xf numFmtId="43" fontId="14" fillId="5" borderId="0" xfId="1" applyFont="1" applyFill="1" applyBorder="1" applyAlignment="1">
      <alignment horizontal="right"/>
    </xf>
    <xf numFmtId="43" fontId="9" fillId="2" borderId="0" xfId="1" applyFont="1" applyFill="1"/>
    <xf numFmtId="0" fontId="8" fillId="0" borderId="0" xfId="0" applyFont="1"/>
    <xf numFmtId="0" fontId="9" fillId="0" borderId="0" xfId="0" applyFont="1"/>
    <xf numFmtId="10" fontId="9" fillId="2" borderId="0" xfId="3" applyNumberFormat="1" applyFont="1" applyFill="1" applyBorder="1" applyAlignment="1">
      <alignment vertical="center"/>
    </xf>
    <xf numFmtId="0" fontId="9" fillId="2" borderId="0" xfId="3" applyNumberFormat="1" applyFont="1" applyFill="1" applyBorder="1" applyAlignment="1">
      <alignment vertical="center"/>
    </xf>
    <xf numFmtId="170" fontId="9" fillId="2" borderId="0" xfId="0" applyNumberFormat="1" applyFont="1" applyFill="1"/>
    <xf numFmtId="0" fontId="0" fillId="4" borderId="0" xfId="0" applyFill="1"/>
    <xf numFmtId="2" fontId="15" fillId="5" borderId="0" xfId="0" applyNumberFormat="1" applyFont="1" applyFill="1"/>
    <xf numFmtId="2" fontId="32" fillId="2" borderId="0" xfId="0" applyNumberFormat="1" applyFont="1" applyFill="1"/>
    <xf numFmtId="9" fontId="9" fillId="2" borderId="0" xfId="0" applyNumberFormat="1" applyFont="1" applyFill="1" applyAlignment="1">
      <alignment horizontal="left"/>
    </xf>
    <xf numFmtId="168" fontId="0" fillId="4" borderId="0" xfId="1" applyNumberFormat="1" applyFont="1" applyFill="1"/>
    <xf numFmtId="0" fontId="0" fillId="0" borderId="0" xfId="0" applyAlignment="1">
      <alignment horizontal="left"/>
    </xf>
    <xf numFmtId="0" fontId="9" fillId="2" borderId="0" xfId="0" applyFont="1" applyFill="1" applyAlignment="1">
      <alignment horizontal="left"/>
    </xf>
    <xf numFmtId="165" fontId="13" fillId="2" borderId="0" xfId="3" applyNumberFormat="1" applyFont="1" applyFill="1" applyBorder="1" applyAlignment="1">
      <alignment horizontal="left" vertical="center"/>
    </xf>
    <xf numFmtId="164" fontId="17" fillId="2" borderId="2" xfId="2" applyNumberFormat="1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23" fillId="2" borderId="0" xfId="0" applyFont="1" applyFill="1" applyAlignment="1">
      <alignment horizontal="left"/>
    </xf>
    <xf numFmtId="0" fontId="21" fillId="2" borderId="0" xfId="0" applyFont="1" applyFill="1"/>
    <xf numFmtId="2" fontId="21" fillId="2" borderId="0" xfId="0" applyNumberFormat="1" applyFont="1" applyFill="1"/>
    <xf numFmtId="168" fontId="21" fillId="4" borderId="3" xfId="1" applyNumberFormat="1" applyFont="1" applyFill="1" applyBorder="1"/>
    <xf numFmtId="0" fontId="29" fillId="2" borderId="0" xfId="3" applyFont="1" applyFill="1"/>
    <xf numFmtId="0" fontId="11" fillId="2" borderId="0" xfId="3" applyNumberFormat="1" applyFont="1" applyFill="1" applyBorder="1" applyAlignment="1">
      <alignment vertical="center"/>
    </xf>
    <xf numFmtId="0" fontId="24" fillId="2" borderId="0" xfId="3" applyFont="1" applyFill="1"/>
    <xf numFmtId="167" fontId="23" fillId="2" borderId="0" xfId="1" applyNumberFormat="1" applyFont="1" applyFill="1"/>
    <xf numFmtId="9" fontId="23" fillId="2" borderId="0" xfId="0" applyNumberFormat="1" applyFont="1" applyFill="1"/>
    <xf numFmtId="9" fontId="13" fillId="2" borderId="0" xfId="3" applyNumberFormat="1" applyFont="1" applyFill="1" applyBorder="1" applyAlignment="1">
      <alignment vertical="center"/>
    </xf>
    <xf numFmtId="1" fontId="13" fillId="2" borderId="0" xfId="3" applyNumberFormat="1" applyFont="1" applyFill="1" applyBorder="1" applyAlignment="1">
      <alignment vertical="center"/>
    </xf>
    <xf numFmtId="1" fontId="23" fillId="2" borderId="0" xfId="0" applyNumberFormat="1" applyFont="1" applyFill="1"/>
    <xf numFmtId="0" fontId="6" fillId="6" borderId="4" xfId="2" applyFont="1" applyFill="1" applyBorder="1" applyAlignment="1">
      <alignment horizontal="left"/>
    </xf>
    <xf numFmtId="164" fontId="6" fillId="6" borderId="4" xfId="2" applyNumberFormat="1" applyFont="1" applyFill="1" applyBorder="1" applyAlignment="1">
      <alignment horizontal="left"/>
    </xf>
    <xf numFmtId="164" fontId="6" fillId="6" borderId="4" xfId="2" applyNumberFormat="1" applyFont="1" applyFill="1" applyBorder="1" applyAlignment="1">
      <alignment horizontal="left" wrapText="1"/>
    </xf>
    <xf numFmtId="164" fontId="28" fillId="6" borderId="4" xfId="2" applyNumberFormat="1" applyFont="1" applyFill="1" applyBorder="1" applyAlignment="1">
      <alignment horizontal="left" wrapText="1"/>
    </xf>
    <xf numFmtId="168" fontId="6" fillId="6" borderId="4" xfId="1" applyNumberFormat="1" applyFont="1" applyFill="1" applyBorder="1" applyAlignment="1">
      <alignment horizontal="left" wrapText="1"/>
    </xf>
    <xf numFmtId="164" fontId="6" fillId="6" borderId="4" xfId="2" applyNumberFormat="1" applyFont="1" applyFill="1" applyBorder="1" applyAlignment="1">
      <alignment horizontal="center" wrapText="1"/>
    </xf>
    <xf numFmtId="0" fontId="34" fillId="6" borderId="4" xfId="0" applyFont="1" applyFill="1" applyBorder="1"/>
    <xf numFmtId="0" fontId="33" fillId="7" borderId="0" xfId="0" applyFont="1" applyFill="1"/>
    <xf numFmtId="0" fontId="12" fillId="7" borderId="0" xfId="0" applyFont="1" applyFill="1"/>
    <xf numFmtId="2" fontId="33" fillId="7" borderId="0" xfId="0" applyNumberFormat="1" applyFont="1" applyFill="1"/>
    <xf numFmtId="0" fontId="12" fillId="7" borderId="0" xfId="0" applyFont="1" applyFill="1" applyAlignment="1">
      <alignment horizontal="left"/>
    </xf>
    <xf numFmtId="2" fontId="12" fillId="7" borderId="0" xfId="0" applyNumberFormat="1" applyFont="1" applyFill="1"/>
    <xf numFmtId="0" fontId="35" fillId="9" borderId="0" xfId="0" applyFont="1" applyFill="1"/>
    <xf numFmtId="0" fontId="12" fillId="9" borderId="0" xfId="0" applyFont="1" applyFill="1"/>
    <xf numFmtId="9" fontId="12" fillId="7" borderId="0" xfId="0" applyNumberFormat="1" applyFont="1" applyFill="1" applyAlignment="1">
      <alignment horizontal="left"/>
    </xf>
    <xf numFmtId="0" fontId="23" fillId="9" borderId="0" xfId="0" applyFont="1" applyFill="1"/>
    <xf numFmtId="0" fontId="16" fillId="9" borderId="0" xfId="3" applyFont="1" applyFill="1" applyBorder="1"/>
    <xf numFmtId="0" fontId="12" fillId="9" borderId="0" xfId="0" applyFont="1" applyFill="1" applyAlignment="1">
      <alignment horizontal="left"/>
    </xf>
    <xf numFmtId="168" fontId="12" fillId="9" borderId="0" xfId="1" applyNumberFormat="1" applyFont="1" applyFill="1" applyBorder="1"/>
    <xf numFmtId="164" fontId="17" fillId="9" borderId="4" xfId="2" applyNumberFormat="1" applyFont="1" applyFill="1" applyBorder="1" applyAlignment="1"/>
    <xf numFmtId="0" fontId="12" fillId="9" borderId="4" xfId="0" applyFont="1" applyFill="1" applyBorder="1"/>
    <xf numFmtId="0" fontId="17" fillId="9" borderId="4" xfId="2" applyFont="1" applyFill="1" applyBorder="1" applyAlignment="1"/>
    <xf numFmtId="164" fontId="17" fillId="9" borderId="4" xfId="2" applyNumberFormat="1" applyFont="1" applyFill="1" applyBorder="1" applyAlignment="1">
      <alignment horizontal="left"/>
    </xf>
    <xf numFmtId="164" fontId="18" fillId="9" borderId="4" xfId="2" applyNumberFormat="1" applyFont="1" applyFill="1" applyBorder="1" applyAlignment="1"/>
    <xf numFmtId="164" fontId="23" fillId="9" borderId="4" xfId="2" applyNumberFormat="1" applyFont="1" applyFill="1" applyBorder="1" applyAlignment="1"/>
    <xf numFmtId="168" fontId="18" fillId="9" borderId="4" xfId="1" applyNumberFormat="1" applyFont="1" applyFill="1" applyBorder="1" applyAlignment="1"/>
    <xf numFmtId="0" fontId="37" fillId="10" borderId="0" xfId="0" applyFont="1" applyFill="1" applyAlignment="1">
      <alignment horizontal="left"/>
    </xf>
    <xf numFmtId="0" fontId="36" fillId="10" borderId="0" xfId="0" applyFont="1" applyFill="1"/>
    <xf numFmtId="0" fontId="37" fillId="10" borderId="0" xfId="0" applyFont="1" applyFill="1" applyAlignment="1">
      <alignment horizontal="left" vertical="center"/>
    </xf>
    <xf numFmtId="164" fontId="37" fillId="10" borderId="0" xfId="0" applyNumberFormat="1" applyFont="1" applyFill="1" applyAlignment="1">
      <alignment horizontal="left"/>
    </xf>
    <xf numFmtId="166" fontId="37" fillId="10" borderId="0" xfId="1" applyNumberFormat="1" applyFont="1" applyFill="1" applyBorder="1" applyAlignment="1">
      <alignment horizontal="right"/>
    </xf>
    <xf numFmtId="166" fontId="28" fillId="10" borderId="0" xfId="1" applyNumberFormat="1" applyFont="1" applyFill="1" applyBorder="1" applyAlignment="1">
      <alignment horizontal="right"/>
    </xf>
    <xf numFmtId="168" fontId="37" fillId="10" borderId="0" xfId="1" applyNumberFormat="1" applyFont="1" applyFill="1" applyBorder="1" applyAlignment="1">
      <alignment horizontal="right"/>
    </xf>
    <xf numFmtId="43" fontId="37" fillId="10" borderId="0" xfId="1" applyFont="1" applyFill="1" applyBorder="1" applyAlignment="1">
      <alignment horizontal="right"/>
    </xf>
    <xf numFmtId="165" fontId="37" fillId="10" borderId="0" xfId="0" applyNumberFormat="1" applyFont="1" applyFill="1" applyAlignment="1">
      <alignment horizontal="right"/>
    </xf>
    <xf numFmtId="167" fontId="28" fillId="2" borderId="0" xfId="1" applyNumberFormat="1" applyFont="1" applyFill="1"/>
    <xf numFmtId="0" fontId="0" fillId="4" borderId="0" xfId="0" applyFill="1" applyAlignment="1">
      <alignment horizontal="left"/>
    </xf>
    <xf numFmtId="0" fontId="7" fillId="0" borderId="0" xfId="0" applyFont="1" applyFill="1"/>
    <xf numFmtId="0" fontId="9" fillId="0" borderId="0" xfId="0" applyFont="1" applyFill="1"/>
    <xf numFmtId="0" fontId="8" fillId="0" borderId="0" xfId="0" applyFont="1" applyFill="1"/>
    <xf numFmtId="2" fontId="14" fillId="5" borderId="0" xfId="0" applyNumberFormat="1" applyFont="1" applyFill="1" applyBorder="1" applyAlignment="1">
      <alignment horizontal="right"/>
    </xf>
    <xf numFmtId="4" fontId="9" fillId="0" borderId="0" xfId="0" applyNumberFormat="1" applyFont="1"/>
    <xf numFmtId="4" fontId="9" fillId="0" borderId="0" xfId="0" applyNumberFormat="1" applyFont="1" applyFill="1"/>
    <xf numFmtId="0" fontId="7" fillId="4" borderId="0" xfId="0" applyFont="1" applyFill="1"/>
    <xf numFmtId="0" fontId="14" fillId="5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left"/>
    </xf>
    <xf numFmtId="166" fontId="4" fillId="4" borderId="0" xfId="0" applyNumberFormat="1" applyFont="1" applyFill="1"/>
    <xf numFmtId="168" fontId="4" fillId="4" borderId="0" xfId="0" applyNumberFormat="1" applyFont="1" applyFill="1"/>
    <xf numFmtId="43" fontId="4" fillId="4" borderId="0" xfId="0" applyNumberFormat="1" applyFont="1" applyFill="1"/>
    <xf numFmtId="4" fontId="7" fillId="4" borderId="0" xfId="0" applyNumberFormat="1" applyFont="1" applyFill="1"/>
    <xf numFmtId="4" fontId="38" fillId="4" borderId="0" xfId="0" applyNumberFormat="1" applyFont="1" applyFill="1"/>
    <xf numFmtId="0" fontId="39" fillId="0" borderId="0" xfId="0" applyFont="1"/>
    <xf numFmtId="0" fontId="0" fillId="2" borderId="0" xfId="0" applyFont="1" applyFill="1"/>
    <xf numFmtId="4" fontId="29" fillId="2" borderId="0" xfId="0" applyNumberFormat="1" applyFont="1" applyFill="1"/>
    <xf numFmtId="4" fontId="11" fillId="2" borderId="0" xfId="0" applyNumberFormat="1" applyFont="1" applyFill="1"/>
    <xf numFmtId="4" fontId="23" fillId="2" borderId="0" xfId="0" applyNumberFormat="1" applyFont="1" applyFill="1"/>
    <xf numFmtId="4" fontId="11" fillId="7" borderId="0" xfId="0" applyNumberFormat="1" applyFont="1" applyFill="1"/>
    <xf numFmtId="4" fontId="12" fillId="7" borderId="0" xfId="0" applyNumberFormat="1" applyFont="1" applyFill="1"/>
    <xf numFmtId="4" fontId="33" fillId="8" borderId="5" xfId="1" applyNumberFormat="1" applyFont="1" applyFill="1" applyBorder="1"/>
    <xf numFmtId="4" fontId="35" fillId="9" borderId="0" xfId="1" applyNumberFormat="1" applyFont="1" applyFill="1" applyBorder="1"/>
    <xf numFmtId="4" fontId="9" fillId="2" borderId="0" xfId="0" applyNumberFormat="1" applyFont="1" applyFill="1"/>
    <xf numFmtId="4" fontId="8" fillId="4" borderId="0" xfId="1" applyNumberFormat="1" applyFont="1" applyFill="1"/>
    <xf numFmtId="4" fontId="9" fillId="2" borderId="0" xfId="1" applyNumberFormat="1" applyFont="1" applyFill="1"/>
    <xf numFmtId="4" fontId="10" fillId="2" borderId="0" xfId="1" applyNumberFormat="1" applyFont="1" applyFill="1"/>
    <xf numFmtId="0" fontId="8" fillId="4" borderId="0" xfId="0" applyFont="1" applyFill="1"/>
    <xf numFmtId="166" fontId="8" fillId="4" borderId="0" xfId="0" applyNumberFormat="1" applyFont="1" applyFill="1"/>
    <xf numFmtId="170" fontId="8" fillId="4" borderId="0" xfId="0" applyNumberFormat="1" applyFont="1" applyFill="1"/>
    <xf numFmtId="165" fontId="8" fillId="4" borderId="0" xfId="0" applyNumberFormat="1" applyFont="1" applyFill="1"/>
    <xf numFmtId="2" fontId="18" fillId="2" borderId="2" xfId="2" applyNumberFormat="1" applyFont="1" applyFill="1" applyBorder="1" applyAlignment="1"/>
    <xf numFmtId="0" fontId="0" fillId="0" borderId="0" xfId="0" applyFont="1"/>
    <xf numFmtId="0" fontId="11" fillId="2" borderId="0" xfId="0" applyFont="1" applyFill="1" applyAlignment="1">
      <alignment horizontal="left"/>
    </xf>
    <xf numFmtId="43" fontId="29" fillId="2" borderId="0" xfId="1" applyFont="1" applyFill="1"/>
    <xf numFmtId="0" fontId="29" fillId="2" borderId="0" xfId="0" applyFont="1" applyFill="1"/>
  </cellXfs>
  <cellStyles count="4">
    <cellStyle name="Forklarende tekst" xfId="3" builtinId="53"/>
    <cellStyle name="Komma" xfId="1" builtinId="3"/>
    <cellStyle name="Normal" xfId="0" builtinId="0" customBuiltin="1"/>
    <cellStyle name="Overskrift 4" xfId="2" builtinId="19" customBuiltin="1"/>
  </cellStyles>
  <dxfs count="0"/>
  <tableStyles count="0" defaultTableStyle="TableStyleMedium2" defaultPivotStyle="PivotStyleLight16"/>
  <colors>
    <mruColors>
      <color rgb="FF008CB0"/>
      <color rgb="FFCFE3A3"/>
      <color rgb="FF808073"/>
      <color rgb="FF14283C"/>
      <color rgb="FFEDF3EE"/>
      <color rgb="FFDDF5DB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Ledig BYA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8CB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E71-41FE-A244-79FB9603B5B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solidFill>
                <a:srgbClr val="CFE3A3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E71-41FE-A244-79FB9603B5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Oversikt!$A$3:$A$7</c:f>
              <c:strCache>
                <c:ptCount val="5"/>
                <c:pt idx="0">
                  <c:v>Jevnaker </c:v>
                </c:pt>
                <c:pt idx="1">
                  <c:v>Krødsherad</c:v>
                </c:pt>
                <c:pt idx="2">
                  <c:v>Modum </c:v>
                </c:pt>
                <c:pt idx="3">
                  <c:v>Hole</c:v>
                </c:pt>
                <c:pt idx="4">
                  <c:v>Ringerike </c:v>
                </c:pt>
              </c:strCache>
            </c:strRef>
          </c:cat>
          <c:val>
            <c:numRef>
              <c:f>Oversikt!$D$3:$D$7</c:f>
              <c:numCache>
                <c:formatCode>#,##0.00</c:formatCode>
                <c:ptCount val="5"/>
                <c:pt idx="0">
                  <c:v>536370</c:v>
                </c:pt>
                <c:pt idx="1">
                  <c:v>133000</c:v>
                </c:pt>
                <c:pt idx="2">
                  <c:v>88104</c:v>
                </c:pt>
                <c:pt idx="3">
                  <c:v>50577.049999999996</c:v>
                </c:pt>
                <c:pt idx="4">
                  <c:v>1059510.8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1-41FE-A244-79FB9603B5B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160019</xdr:colOff>
      <xdr:row>9</xdr:row>
      <xdr:rowOff>26670</xdr:rowOff>
    </xdr:from>
    <xdr:to>
      <xdr:col>4</xdr:col>
      <xdr:colOff>1533524</xdr:colOff>
      <xdr:row>44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4012B36-37BA-FF99-D19C-68E7EE6A2F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A4A42-6424-4937-A52E-AEF71314F6EC}">
  <sheetPr>
    <pageSetUpPr fitToPage="1"/>
  </sheetPr>
  <dimension ref="A1:F31"/>
  <sheetViews>
    <sheetView tabSelected="1" zoomScaleNormal="100" workbookViewId="0">
      <selection activeCell="E45" sqref="E45"/>
    </sheetView>
  </sheetViews>
  <sheetFormatPr baseColWidth="10" defaultRowHeight="14.4" x14ac:dyDescent="0.3"/>
  <cols>
    <col min="1" max="1" width="21.5" style="43" customWidth="1"/>
    <col min="2" max="2" width="40.19921875" style="43" customWidth="1"/>
    <col min="3" max="3" width="59.296875" style="43" customWidth="1"/>
    <col min="4" max="4" width="62.296875" style="43" customWidth="1"/>
    <col min="5" max="5" width="77.8984375" style="43" customWidth="1"/>
    <col min="6" max="6" width="35.19921875" style="43" customWidth="1"/>
    <col min="7" max="16384" width="11.19921875" style="43"/>
  </cols>
  <sheetData>
    <row r="1" spans="1:6" ht="18" x14ac:dyDescent="0.35">
      <c r="A1" s="163" t="s">
        <v>228</v>
      </c>
    </row>
    <row r="2" spans="1:6" x14ac:dyDescent="0.3">
      <c r="A2" s="33"/>
      <c r="B2" s="155" t="s">
        <v>179</v>
      </c>
      <c r="C2" s="155" t="s">
        <v>180</v>
      </c>
      <c r="D2" s="155" t="s">
        <v>135</v>
      </c>
      <c r="E2" s="155" t="s">
        <v>236</v>
      </c>
      <c r="F2" s="150"/>
    </row>
    <row r="3" spans="1:6" x14ac:dyDescent="0.3">
      <c r="A3" s="83" t="s">
        <v>224</v>
      </c>
      <c r="B3" s="152">
        <f>Jevnaker!I20</f>
        <v>1084</v>
      </c>
      <c r="C3" s="152">
        <f>B3*1000</f>
        <v>1084000</v>
      </c>
      <c r="D3" s="152">
        <f>Jevnaker!L20</f>
        <v>536370</v>
      </c>
      <c r="E3" s="152">
        <f>Jevnaker!M20</f>
        <v>1072740</v>
      </c>
      <c r="F3" s="84"/>
    </row>
    <row r="4" spans="1:6" x14ac:dyDescent="0.3">
      <c r="A4" s="150" t="s">
        <v>194</v>
      </c>
      <c r="B4" s="153">
        <f>Krødsherad!I9</f>
        <v>282</v>
      </c>
      <c r="C4" s="153">
        <f>B4*1000</f>
        <v>282000</v>
      </c>
      <c r="D4" s="152">
        <f>Krødsherad!L9</f>
        <v>133000</v>
      </c>
      <c r="E4" s="152">
        <f>Krødsherad!M9</f>
        <v>266000</v>
      </c>
      <c r="F4" s="84"/>
    </row>
    <row r="5" spans="1:6" x14ac:dyDescent="0.3">
      <c r="A5" s="150" t="s">
        <v>150</v>
      </c>
      <c r="B5" s="153">
        <f>Modum!I40</f>
        <v>163.72999999999999</v>
      </c>
      <c r="C5" s="153">
        <f>B5*1000</f>
        <v>163730</v>
      </c>
      <c r="D5" s="152">
        <f>Modum!L40</f>
        <v>88104</v>
      </c>
      <c r="E5" s="152">
        <f>Modum!M40</f>
        <v>152008</v>
      </c>
      <c r="F5" s="84"/>
    </row>
    <row r="6" spans="1:6" x14ac:dyDescent="0.3">
      <c r="A6" s="150" t="s">
        <v>225</v>
      </c>
      <c r="B6" s="152">
        <f>Hole!I19</f>
        <v>171.23599999999999</v>
      </c>
      <c r="C6" s="152">
        <f>B6*1000</f>
        <v>171236</v>
      </c>
      <c r="D6" s="152">
        <f>Hole!L19</f>
        <v>50577.049999999996</v>
      </c>
      <c r="E6" s="152">
        <f>Hole!M19</f>
        <v>101154.09999999999</v>
      </c>
      <c r="F6" s="84"/>
    </row>
    <row r="7" spans="1:6" x14ac:dyDescent="0.3">
      <c r="A7" s="150" t="s">
        <v>226</v>
      </c>
      <c r="B7" s="152">
        <f>'Ringerike 1'!I72</f>
        <v>3010.8540000000003</v>
      </c>
      <c r="C7" s="152">
        <f>B7*1000</f>
        <v>3010854.0000000005</v>
      </c>
      <c r="D7" s="152">
        <f>'Ringerike 1'!L72</f>
        <v>1059510.8</v>
      </c>
      <c r="E7" s="152">
        <f>'Ringerike 1'!M72</f>
        <v>2090921.6</v>
      </c>
      <c r="F7" s="84"/>
    </row>
    <row r="8" spans="1:6" x14ac:dyDescent="0.3">
      <c r="A8" s="154"/>
      <c r="B8" s="161">
        <f>SUM(B3:B7)</f>
        <v>4711.82</v>
      </c>
      <c r="C8" s="161">
        <f>SUM(C3:C7)</f>
        <v>4711820</v>
      </c>
      <c r="D8" s="162">
        <f>SUM(D3:D7)</f>
        <v>1867561.85</v>
      </c>
      <c r="E8" s="161">
        <f>SUM(E3:E7)</f>
        <v>3682823.7</v>
      </c>
    </row>
    <row r="14" spans="1:6" x14ac:dyDescent="0.3">
      <c r="A14" s="149"/>
      <c r="B14" s="149"/>
      <c r="C14" s="149"/>
      <c r="D14" s="84"/>
      <c r="E14" s="84"/>
      <c r="F14" s="84"/>
    </row>
    <row r="15" spans="1:6" x14ac:dyDescent="0.3">
      <c r="A15" s="148"/>
      <c r="B15" s="148"/>
      <c r="C15" s="148"/>
    </row>
    <row r="16" spans="1:6" x14ac:dyDescent="0.3">
      <c r="A16" s="148"/>
      <c r="B16" s="148"/>
      <c r="C16" s="148"/>
    </row>
    <row r="17" spans="1:3" x14ac:dyDescent="0.3">
      <c r="A17" s="148"/>
      <c r="B17" s="148"/>
      <c r="C17" s="148"/>
    </row>
    <row r="18" spans="1:3" x14ac:dyDescent="0.3">
      <c r="A18" s="148"/>
      <c r="B18" s="148"/>
      <c r="C18" s="148"/>
    </row>
    <row r="19" spans="1:3" x14ac:dyDescent="0.3">
      <c r="A19" s="148"/>
      <c r="B19" s="148"/>
      <c r="C19" s="148"/>
    </row>
    <row r="20" spans="1:3" x14ac:dyDescent="0.3">
      <c r="A20" s="148"/>
      <c r="B20" s="148"/>
      <c r="C20" s="148"/>
    </row>
    <row r="21" spans="1:3" x14ac:dyDescent="0.3">
      <c r="A21" s="148"/>
      <c r="B21" s="148"/>
      <c r="C21" s="148"/>
    </row>
    <row r="22" spans="1:3" x14ac:dyDescent="0.3">
      <c r="A22" s="148"/>
      <c r="B22" s="148"/>
      <c r="C22" s="148"/>
    </row>
    <row r="23" spans="1:3" x14ac:dyDescent="0.3">
      <c r="A23" s="148"/>
      <c r="B23" s="148"/>
      <c r="C23" s="148"/>
    </row>
    <row r="24" spans="1:3" x14ac:dyDescent="0.3">
      <c r="A24" s="148"/>
      <c r="B24" s="148"/>
      <c r="C24" s="148"/>
    </row>
    <row r="25" spans="1:3" x14ac:dyDescent="0.3">
      <c r="A25" s="148"/>
      <c r="B25" s="148"/>
      <c r="C25" s="148"/>
    </row>
    <row r="26" spans="1:3" x14ac:dyDescent="0.3">
      <c r="A26" s="148"/>
      <c r="B26" s="148"/>
      <c r="C26" s="148"/>
    </row>
    <row r="27" spans="1:3" x14ac:dyDescent="0.3">
      <c r="A27" s="148"/>
      <c r="B27" s="148"/>
      <c r="C27" s="148"/>
    </row>
    <row r="28" spans="1:3" x14ac:dyDescent="0.3">
      <c r="A28" s="148"/>
      <c r="B28" s="148"/>
      <c r="C28" s="148"/>
    </row>
    <row r="29" spans="1:3" x14ac:dyDescent="0.3">
      <c r="A29" s="148"/>
      <c r="B29" s="148"/>
      <c r="C29" s="148"/>
    </row>
    <row r="30" spans="1:3" x14ac:dyDescent="0.3">
      <c r="A30" s="148"/>
      <c r="B30" s="148"/>
      <c r="C30" s="148"/>
    </row>
    <row r="31" spans="1:3" x14ac:dyDescent="0.3">
      <c r="A31" s="148"/>
      <c r="B31" s="148"/>
      <c r="C31" s="148"/>
    </row>
  </sheetData>
  <pageMargins left="0.70866141732283472" right="0.70866141732283472" top="0.74803149606299213" bottom="0.74803149606299213" header="0.31496062992125984" footer="0.31496062992125984"/>
  <pageSetup paperSize="8" scale="6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E660A-C2D2-40FB-9AF2-A817EF4AAE0F}">
  <sheetPr>
    <pageSetUpPr fitToPage="1"/>
  </sheetPr>
  <dimension ref="A2:Q23"/>
  <sheetViews>
    <sheetView zoomScale="80" zoomScaleNormal="80" workbookViewId="0">
      <selection activeCell="E66" sqref="E66"/>
    </sheetView>
  </sheetViews>
  <sheetFormatPr baseColWidth="10" defaultRowHeight="13.8" x14ac:dyDescent="0.25"/>
  <cols>
    <col min="1" max="1" width="22.69921875" customWidth="1"/>
    <col min="2" max="2" width="23.69921875" customWidth="1"/>
    <col min="3" max="3" width="23.796875" customWidth="1"/>
    <col min="4" max="4" width="18.09765625" customWidth="1"/>
    <col min="5" max="5" width="17.09765625" customWidth="1"/>
    <col min="6" max="6" width="8.19921875" customWidth="1"/>
    <col min="7" max="7" width="11.59765625" customWidth="1"/>
    <col min="8" max="8" width="7.796875" customWidth="1"/>
    <col min="9" max="9" width="22.296875" customWidth="1"/>
    <col min="11" max="11" width="23" customWidth="1"/>
    <col min="12" max="12" width="16.19921875" customWidth="1"/>
    <col min="13" max="13" width="16.8984375" customWidth="1"/>
    <col min="14" max="14" width="15.69921875" customWidth="1"/>
  </cols>
  <sheetData>
    <row r="2" spans="1:17" ht="18" x14ac:dyDescent="0.35">
      <c r="A2" s="163" t="s">
        <v>229</v>
      </c>
    </row>
    <row r="3" spans="1:17" ht="32.4" customHeight="1" x14ac:dyDescent="0.3">
      <c r="A3" s="111" t="s">
        <v>0</v>
      </c>
      <c r="B3" s="112" t="s">
        <v>1</v>
      </c>
      <c r="C3" s="112" t="s">
        <v>2</v>
      </c>
      <c r="D3" s="113" t="s">
        <v>19</v>
      </c>
      <c r="E3" s="112" t="s">
        <v>5</v>
      </c>
      <c r="F3" s="112" t="s">
        <v>6</v>
      </c>
      <c r="G3" s="112" t="s">
        <v>3</v>
      </c>
      <c r="H3" s="112" t="s">
        <v>4</v>
      </c>
      <c r="I3" s="113" t="s">
        <v>31</v>
      </c>
      <c r="J3" s="114" t="s">
        <v>116</v>
      </c>
      <c r="K3" s="5" t="s">
        <v>235</v>
      </c>
      <c r="L3" s="115" t="s">
        <v>135</v>
      </c>
      <c r="M3" s="116" t="s">
        <v>29</v>
      </c>
      <c r="N3" s="116" t="s">
        <v>30</v>
      </c>
      <c r="O3" s="112" t="s">
        <v>7</v>
      </c>
      <c r="P3" s="112" t="s">
        <v>35</v>
      </c>
      <c r="Q3" s="117"/>
    </row>
    <row r="4" spans="1:17" ht="14.4" x14ac:dyDescent="0.3">
      <c r="A4" s="118" t="s">
        <v>203</v>
      </c>
      <c r="B4" s="119" t="s">
        <v>204</v>
      </c>
      <c r="C4" s="119" t="s">
        <v>232</v>
      </c>
      <c r="D4" s="120"/>
      <c r="E4" s="119"/>
      <c r="F4" s="119"/>
      <c r="G4" s="121"/>
      <c r="H4" s="119"/>
      <c r="I4" s="119"/>
      <c r="J4" s="168">
        <f>(I4*1000)*0.8</f>
        <v>0</v>
      </c>
      <c r="K4" s="169">
        <v>0</v>
      </c>
      <c r="L4" s="170">
        <f>J4-K4</f>
        <v>0</v>
      </c>
      <c r="M4" s="171">
        <f>L4*2</f>
        <v>0</v>
      </c>
      <c r="N4" s="171">
        <f>L4*3</f>
        <v>0</v>
      </c>
      <c r="O4" s="124" t="s">
        <v>205</v>
      </c>
      <c r="Q4" s="124"/>
    </row>
    <row r="5" spans="1:17" ht="14.4" x14ac:dyDescent="0.3">
      <c r="A5" s="118"/>
      <c r="B5" s="119"/>
      <c r="C5" s="119"/>
      <c r="D5" s="120"/>
      <c r="E5" s="119"/>
      <c r="F5" s="119"/>
      <c r="G5" s="121"/>
      <c r="H5" s="119"/>
      <c r="I5" s="119"/>
      <c r="J5" s="168"/>
      <c r="K5" s="169"/>
      <c r="L5" s="170"/>
      <c r="M5" s="171"/>
      <c r="N5" s="171"/>
      <c r="O5" s="123"/>
      <c r="P5" s="124"/>
      <c r="Q5" s="124"/>
    </row>
    <row r="6" spans="1:17" ht="14.4" x14ac:dyDescent="0.3">
      <c r="A6" s="119"/>
      <c r="B6" s="119" t="s">
        <v>206</v>
      </c>
      <c r="C6" s="119" t="s">
        <v>232</v>
      </c>
      <c r="D6" s="122">
        <v>138</v>
      </c>
      <c r="E6" s="119" t="s">
        <v>69</v>
      </c>
      <c r="F6" s="119" t="s">
        <v>207</v>
      </c>
      <c r="G6" s="125">
        <v>0.4</v>
      </c>
      <c r="H6" s="119">
        <v>9</v>
      </c>
      <c r="I6" s="119">
        <v>138</v>
      </c>
      <c r="J6" s="168">
        <f>(I6*1000)*0.4</f>
        <v>55200</v>
      </c>
      <c r="K6" s="169">
        <v>29936</v>
      </c>
      <c r="L6" s="170">
        <f t="shared" ref="L6:L17" si="0">J6-K6</f>
        <v>25264</v>
      </c>
      <c r="M6" s="171">
        <f t="shared" ref="M6:M17" si="1">L6*2</f>
        <v>50528</v>
      </c>
      <c r="N6" s="171">
        <v>0</v>
      </c>
      <c r="O6" s="123" t="s">
        <v>25</v>
      </c>
      <c r="P6" s="124"/>
      <c r="Q6" s="124"/>
    </row>
    <row r="7" spans="1:17" ht="14.4" x14ac:dyDescent="0.3">
      <c r="A7" s="119"/>
      <c r="B7" s="119"/>
      <c r="C7" s="119"/>
      <c r="D7" s="122"/>
      <c r="E7" s="119"/>
      <c r="F7" s="119"/>
      <c r="G7" s="125"/>
      <c r="H7" s="119"/>
      <c r="I7" s="119"/>
      <c r="J7" s="168"/>
      <c r="K7" s="169"/>
      <c r="L7" s="170"/>
      <c r="M7" s="171"/>
      <c r="N7" s="171"/>
      <c r="O7" s="123"/>
      <c r="P7" s="124"/>
      <c r="Q7" s="124"/>
    </row>
    <row r="8" spans="1:17" ht="14.4" x14ac:dyDescent="0.3">
      <c r="A8" s="119"/>
      <c r="B8" s="119" t="s">
        <v>208</v>
      </c>
      <c r="C8" s="119" t="s">
        <v>232</v>
      </c>
      <c r="D8" s="122">
        <f>I8+I9+I10+I11+I12</f>
        <v>570</v>
      </c>
      <c r="E8" s="119" t="s">
        <v>69</v>
      </c>
      <c r="F8" s="119" t="s">
        <v>209</v>
      </c>
      <c r="G8" s="121" t="s">
        <v>210</v>
      </c>
      <c r="H8" s="119"/>
      <c r="I8" s="119">
        <v>0</v>
      </c>
      <c r="J8" s="168">
        <v>0</v>
      </c>
      <c r="K8" s="168">
        <v>0</v>
      </c>
      <c r="L8" s="170">
        <f>J8-K8</f>
        <v>0</v>
      </c>
      <c r="M8" s="171">
        <f t="shared" si="1"/>
        <v>0</v>
      </c>
      <c r="N8" s="171">
        <f t="shared" ref="N6:N17" si="2">L8*3</f>
        <v>0</v>
      </c>
      <c r="O8" s="123" t="s">
        <v>222</v>
      </c>
      <c r="P8" s="124"/>
      <c r="Q8" s="124"/>
    </row>
    <row r="9" spans="1:17" ht="14.4" x14ac:dyDescent="0.3">
      <c r="A9" s="119"/>
      <c r="B9" s="119"/>
      <c r="C9" s="119"/>
      <c r="D9" s="122"/>
      <c r="E9" s="119" t="s">
        <v>69</v>
      </c>
      <c r="F9" s="119" t="s">
        <v>211</v>
      </c>
      <c r="G9" s="125">
        <v>0.4</v>
      </c>
      <c r="H9" s="119">
        <v>6</v>
      </c>
      <c r="I9" s="119">
        <v>185</v>
      </c>
      <c r="J9" s="168">
        <f t="shared" ref="J9:J17" si="3">(I9*1000)*0.4</f>
        <v>74000</v>
      </c>
      <c r="K9" s="169">
        <v>16198</v>
      </c>
      <c r="L9" s="170">
        <f t="shared" si="0"/>
        <v>57802</v>
      </c>
      <c r="M9" s="171">
        <f t="shared" si="1"/>
        <v>115604</v>
      </c>
      <c r="N9" s="171">
        <v>0</v>
      </c>
      <c r="O9" s="123" t="s">
        <v>25</v>
      </c>
      <c r="P9" s="124"/>
      <c r="Q9" s="124"/>
    </row>
    <row r="10" spans="1:17" ht="14.4" x14ac:dyDescent="0.3">
      <c r="A10" s="119"/>
      <c r="B10" s="119"/>
      <c r="C10" s="119"/>
      <c r="D10" s="122"/>
      <c r="E10" s="119" t="s">
        <v>69</v>
      </c>
      <c r="F10" s="119" t="s">
        <v>212</v>
      </c>
      <c r="G10" s="125">
        <v>0.4</v>
      </c>
      <c r="H10" s="119">
        <v>6</v>
      </c>
      <c r="I10" s="119">
        <v>130</v>
      </c>
      <c r="J10" s="168">
        <f t="shared" si="3"/>
        <v>52000</v>
      </c>
      <c r="K10" s="169">
        <v>547</v>
      </c>
      <c r="L10" s="170">
        <f>J10-K10</f>
        <v>51453</v>
      </c>
      <c r="M10" s="171">
        <f t="shared" si="1"/>
        <v>102906</v>
      </c>
      <c r="N10" s="171">
        <v>0</v>
      </c>
      <c r="O10" s="123" t="s">
        <v>25</v>
      </c>
      <c r="P10" s="124"/>
      <c r="Q10" s="124"/>
    </row>
    <row r="11" spans="1:17" ht="14.4" x14ac:dyDescent="0.3">
      <c r="A11" s="119"/>
      <c r="B11" s="119"/>
      <c r="C11" s="119"/>
      <c r="D11" s="122"/>
      <c r="E11" s="119" t="s">
        <v>69</v>
      </c>
      <c r="F11" s="119" t="s">
        <v>213</v>
      </c>
      <c r="G11" s="125">
        <v>0.4</v>
      </c>
      <c r="H11" s="119">
        <v>6</v>
      </c>
      <c r="I11" s="119">
        <v>230</v>
      </c>
      <c r="J11" s="168">
        <f t="shared" si="3"/>
        <v>92000</v>
      </c>
      <c r="K11" s="169">
        <v>949</v>
      </c>
      <c r="L11" s="170">
        <f t="shared" si="0"/>
        <v>91051</v>
      </c>
      <c r="M11" s="171">
        <f t="shared" si="1"/>
        <v>182102</v>
      </c>
      <c r="N11" s="171">
        <v>0</v>
      </c>
      <c r="O11" s="123" t="s">
        <v>25</v>
      </c>
      <c r="P11" s="124"/>
      <c r="Q11" s="124"/>
    </row>
    <row r="12" spans="1:17" ht="14.4" x14ac:dyDescent="0.3">
      <c r="A12" s="119"/>
      <c r="B12" s="119"/>
      <c r="C12" s="119"/>
      <c r="D12" s="122"/>
      <c r="E12" s="119" t="s">
        <v>214</v>
      </c>
      <c r="F12" s="119" t="s">
        <v>215</v>
      </c>
      <c r="G12" s="125">
        <v>0.4</v>
      </c>
      <c r="H12" s="119">
        <v>6</v>
      </c>
      <c r="I12" s="119">
        <v>25</v>
      </c>
      <c r="J12" s="168">
        <f t="shared" si="3"/>
        <v>10000</v>
      </c>
      <c r="K12" s="169">
        <v>0</v>
      </c>
      <c r="L12" s="170">
        <f t="shared" si="0"/>
        <v>10000</v>
      </c>
      <c r="M12" s="171">
        <f t="shared" si="1"/>
        <v>20000</v>
      </c>
      <c r="N12" s="171">
        <v>0</v>
      </c>
      <c r="O12" s="123" t="s">
        <v>25</v>
      </c>
      <c r="P12" s="124"/>
      <c r="Q12" s="124"/>
    </row>
    <row r="13" spans="1:17" ht="14.4" x14ac:dyDescent="0.3">
      <c r="A13" s="119"/>
      <c r="B13" s="119"/>
      <c r="C13" s="119"/>
      <c r="D13" s="122"/>
      <c r="E13" s="119"/>
      <c r="F13" s="119"/>
      <c r="G13" s="125"/>
      <c r="H13" s="119"/>
      <c r="I13" s="119"/>
      <c r="J13" s="168"/>
      <c r="K13" s="169"/>
      <c r="L13" s="170"/>
      <c r="M13" s="171"/>
      <c r="N13" s="171"/>
      <c r="O13" s="123"/>
      <c r="P13" s="124"/>
      <c r="Q13" s="124"/>
    </row>
    <row r="14" spans="1:17" ht="14.4" x14ac:dyDescent="0.3">
      <c r="A14" s="119"/>
      <c r="B14" s="119" t="s">
        <v>216</v>
      </c>
      <c r="C14" s="119" t="s">
        <v>232</v>
      </c>
      <c r="D14" s="122">
        <f>I14+I15+I16+I17</f>
        <v>376</v>
      </c>
      <c r="E14" s="119" t="s">
        <v>217</v>
      </c>
      <c r="F14" s="119" t="s">
        <v>218</v>
      </c>
      <c r="G14" s="125">
        <v>0.8</v>
      </c>
      <c r="H14" s="119">
        <v>20</v>
      </c>
      <c r="I14" s="119">
        <v>181</v>
      </c>
      <c r="J14" s="168">
        <f t="shared" ref="J14:J16" si="4">(I14*1000)*0.8</f>
        <v>144800</v>
      </c>
      <c r="K14" s="169">
        <v>0</v>
      </c>
      <c r="L14" s="170">
        <f>J14-K14</f>
        <v>144800</v>
      </c>
      <c r="M14" s="171">
        <f t="shared" si="1"/>
        <v>289600</v>
      </c>
      <c r="N14" s="171">
        <f t="shared" si="2"/>
        <v>434400</v>
      </c>
      <c r="O14" s="123" t="s">
        <v>25</v>
      </c>
      <c r="P14" s="124" t="s">
        <v>223</v>
      </c>
      <c r="Q14" s="124"/>
    </row>
    <row r="15" spans="1:17" ht="14.4" x14ac:dyDescent="0.3">
      <c r="A15" s="119"/>
      <c r="B15" s="119"/>
      <c r="C15" s="119"/>
      <c r="D15" s="122"/>
      <c r="E15" s="119" t="s">
        <v>217</v>
      </c>
      <c r="F15" s="119" t="s">
        <v>219</v>
      </c>
      <c r="G15" s="125">
        <v>0.8</v>
      </c>
      <c r="H15" s="119">
        <v>20</v>
      </c>
      <c r="I15" s="119">
        <v>60</v>
      </c>
      <c r="J15" s="168">
        <f t="shared" si="4"/>
        <v>48000</v>
      </c>
      <c r="K15" s="169">
        <v>0</v>
      </c>
      <c r="L15" s="170">
        <f t="shared" ref="L15:L17" si="5">J15-K15</f>
        <v>48000</v>
      </c>
      <c r="M15" s="171">
        <f t="shared" si="1"/>
        <v>96000</v>
      </c>
      <c r="N15" s="171">
        <f t="shared" si="2"/>
        <v>144000</v>
      </c>
      <c r="O15" s="123" t="s">
        <v>25</v>
      </c>
      <c r="P15" s="124" t="s">
        <v>223</v>
      </c>
      <c r="Q15" s="124"/>
    </row>
    <row r="16" spans="1:17" ht="14.4" x14ac:dyDescent="0.3">
      <c r="A16" s="119"/>
      <c r="B16" s="119"/>
      <c r="C16" s="119"/>
      <c r="D16" s="122"/>
      <c r="E16" s="119" t="s">
        <v>217</v>
      </c>
      <c r="F16" s="119" t="s">
        <v>220</v>
      </c>
      <c r="G16" s="125">
        <v>0.8</v>
      </c>
      <c r="H16" s="119">
        <v>20</v>
      </c>
      <c r="I16" s="119">
        <v>72</v>
      </c>
      <c r="J16" s="168">
        <f t="shared" si="4"/>
        <v>57600</v>
      </c>
      <c r="K16" s="169">
        <v>0</v>
      </c>
      <c r="L16" s="170">
        <f t="shared" si="5"/>
        <v>57600</v>
      </c>
      <c r="M16" s="171">
        <f t="shared" si="1"/>
        <v>115200</v>
      </c>
      <c r="N16" s="171">
        <f t="shared" si="2"/>
        <v>172800</v>
      </c>
      <c r="O16" s="123" t="s">
        <v>25</v>
      </c>
      <c r="P16" s="124" t="s">
        <v>223</v>
      </c>
      <c r="Q16" s="124"/>
    </row>
    <row r="17" spans="1:17" ht="14.4" x14ac:dyDescent="0.3">
      <c r="A17" s="119"/>
      <c r="B17" s="119"/>
      <c r="C17" s="119"/>
      <c r="D17" s="122"/>
      <c r="E17" s="119" t="s">
        <v>217</v>
      </c>
      <c r="F17" s="119" t="s">
        <v>221</v>
      </c>
      <c r="G17" s="125">
        <v>0.8</v>
      </c>
      <c r="H17" s="119">
        <v>20</v>
      </c>
      <c r="I17" s="119">
        <v>63</v>
      </c>
      <c r="J17" s="168">
        <f>(I17*1000)*0.8</f>
        <v>50400</v>
      </c>
      <c r="K17" s="168">
        <v>0</v>
      </c>
      <c r="L17" s="170">
        <f t="shared" si="5"/>
        <v>50400</v>
      </c>
      <c r="M17" s="171">
        <f t="shared" si="1"/>
        <v>100800</v>
      </c>
      <c r="N17" s="171">
        <f t="shared" si="2"/>
        <v>151200</v>
      </c>
      <c r="O17" s="123" t="s">
        <v>25</v>
      </c>
      <c r="P17" s="124" t="s">
        <v>223</v>
      </c>
      <c r="Q17" s="124"/>
    </row>
    <row r="18" spans="1:17" ht="14.4" x14ac:dyDescent="0.3">
      <c r="A18" s="124"/>
      <c r="B18" s="124"/>
      <c r="C18" s="124"/>
      <c r="D18" s="124"/>
      <c r="E18" s="127"/>
      <c r="F18" s="124"/>
      <c r="G18" s="128"/>
      <c r="H18" s="124"/>
      <c r="I18" s="124"/>
      <c r="J18" s="126"/>
      <c r="K18" s="124"/>
      <c r="L18" s="129"/>
      <c r="M18" s="124"/>
      <c r="N18" s="124"/>
      <c r="O18" s="124"/>
      <c r="P18" s="124"/>
      <c r="Q18" s="124"/>
    </row>
    <row r="19" spans="1:17" ht="14.4" x14ac:dyDescent="0.3">
      <c r="A19" s="130"/>
      <c r="B19" s="130"/>
      <c r="C19" s="131"/>
      <c r="D19" s="131"/>
      <c r="E19" s="131"/>
      <c r="F19" s="132"/>
      <c r="G19" s="133"/>
      <c r="H19" s="131"/>
      <c r="I19" s="134" t="s">
        <v>32</v>
      </c>
      <c r="J19" s="135"/>
      <c r="K19" s="134"/>
      <c r="L19" s="136" t="s">
        <v>27</v>
      </c>
      <c r="M19" s="130"/>
      <c r="N19" s="130"/>
      <c r="O19" s="130"/>
      <c r="P19" s="131"/>
      <c r="Q19" s="131"/>
    </row>
    <row r="20" spans="1:17" ht="14.4" x14ac:dyDescent="0.3">
      <c r="A20" s="137"/>
      <c r="B20" s="137"/>
      <c r="C20" s="138"/>
      <c r="D20" s="138"/>
      <c r="E20" s="138"/>
      <c r="F20" s="139"/>
      <c r="G20" s="140"/>
      <c r="H20" s="138"/>
      <c r="I20" s="141">
        <f>SUM(I4:I19)</f>
        <v>1084</v>
      </c>
      <c r="J20" s="142"/>
      <c r="K20" s="141"/>
      <c r="L20" s="143">
        <f>SUM(L4:L19)</f>
        <v>536370</v>
      </c>
      <c r="M20" s="144">
        <f>SUM(M4:M19)</f>
        <v>1072740</v>
      </c>
      <c r="N20" s="144">
        <f>SUM(N4:N19)</f>
        <v>902400</v>
      </c>
      <c r="O20" s="145"/>
      <c r="P20" s="138"/>
      <c r="Q20" s="138"/>
    </row>
    <row r="22" spans="1:17" x14ac:dyDescent="0.25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</row>
    <row r="23" spans="1:17" x14ac:dyDescent="0.25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</row>
  </sheetData>
  <pageMargins left="0.70866141732283472" right="0.70866141732283472" top="0.74803149606299213" bottom="0.74803149606299213" header="0.31496062992125984" footer="0.31496062992125984"/>
  <pageSetup paperSize="8" scale="6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9CC38-E894-4F19-9387-37947F429301}">
  <sheetPr>
    <pageSetUpPr fitToPage="1"/>
  </sheetPr>
  <dimension ref="A1:Q12"/>
  <sheetViews>
    <sheetView zoomScale="80" zoomScaleNormal="80" workbookViewId="0">
      <selection activeCell="H26" sqref="H26"/>
    </sheetView>
  </sheetViews>
  <sheetFormatPr baseColWidth="10" defaultRowHeight="13.8" x14ac:dyDescent="0.25"/>
  <cols>
    <col min="1" max="1" width="19" customWidth="1"/>
    <col min="2" max="2" width="27.296875" bestFit="1" customWidth="1"/>
    <col min="3" max="3" width="33.09765625" customWidth="1"/>
    <col min="4" max="4" width="18" customWidth="1"/>
    <col min="5" max="5" width="21.19921875" customWidth="1"/>
    <col min="6" max="6" width="9.796875" customWidth="1"/>
    <col min="8" max="8" width="7.59765625" customWidth="1"/>
    <col min="9" max="9" width="25.09765625" customWidth="1"/>
    <col min="10" max="10" width="16.09765625" customWidth="1"/>
    <col min="11" max="11" width="19.69921875" customWidth="1"/>
    <col min="12" max="12" width="16.3984375" customWidth="1"/>
    <col min="13" max="13" width="20.5" customWidth="1"/>
    <col min="14" max="14" width="20" customWidth="1"/>
    <col min="15" max="15" width="21.19921875" customWidth="1"/>
  </cols>
  <sheetData>
    <row r="1" spans="1:17" ht="18" x14ac:dyDescent="0.35">
      <c r="A1" s="163" t="s">
        <v>194</v>
      </c>
    </row>
    <row r="2" spans="1:17" ht="28.8" customHeight="1" x14ac:dyDescent="0.3">
      <c r="A2" s="68" t="s">
        <v>0</v>
      </c>
      <c r="B2" s="69" t="s">
        <v>1</v>
      </c>
      <c r="C2" s="69" t="s">
        <v>2</v>
      </c>
      <c r="D2" s="70" t="s">
        <v>19</v>
      </c>
      <c r="E2" s="69" t="s">
        <v>5</v>
      </c>
      <c r="F2" s="69" t="s">
        <v>6</v>
      </c>
      <c r="G2" s="69" t="s">
        <v>3</v>
      </c>
      <c r="H2" s="69" t="s">
        <v>4</v>
      </c>
      <c r="I2" s="70" t="s">
        <v>31</v>
      </c>
      <c r="J2" s="71" t="s">
        <v>116</v>
      </c>
      <c r="K2" s="5" t="s">
        <v>235</v>
      </c>
      <c r="L2" s="72" t="s">
        <v>28</v>
      </c>
      <c r="M2" s="70" t="s">
        <v>29</v>
      </c>
      <c r="N2" s="70" t="s">
        <v>30</v>
      </c>
      <c r="O2" s="69" t="s">
        <v>7</v>
      </c>
      <c r="P2" s="69" t="s">
        <v>35</v>
      </c>
      <c r="Q2" s="8"/>
    </row>
    <row r="3" spans="1:17" s="181" customFormat="1" ht="14.4" x14ac:dyDescent="0.3">
      <c r="A3" s="9" t="s">
        <v>194</v>
      </c>
      <c r="B3" s="10" t="s">
        <v>195</v>
      </c>
      <c r="C3" s="10" t="s">
        <v>118</v>
      </c>
      <c r="D3" s="11">
        <f>I3+I4</f>
        <v>32</v>
      </c>
      <c r="E3" s="10" t="s">
        <v>198</v>
      </c>
      <c r="F3" s="10" t="s">
        <v>196</v>
      </c>
      <c r="G3" s="73">
        <v>0.25</v>
      </c>
      <c r="H3" s="10">
        <v>9</v>
      </c>
      <c r="I3" s="10">
        <v>21</v>
      </c>
      <c r="J3" s="166">
        <f>(I3*1000)*0.25</f>
        <v>5250</v>
      </c>
      <c r="K3" s="11">
        <v>0</v>
      </c>
      <c r="L3" s="66">
        <f>J3-K3</f>
        <v>5250</v>
      </c>
      <c r="M3" s="82">
        <f t="shared" ref="M3:M4" si="0">L3*2</f>
        <v>10500</v>
      </c>
      <c r="N3" s="82"/>
      <c r="O3" s="10" t="s">
        <v>73</v>
      </c>
      <c r="P3" s="10" t="s">
        <v>149</v>
      </c>
      <c r="Q3" s="10"/>
    </row>
    <row r="4" spans="1:17" ht="14.4" x14ac:dyDescent="0.3">
      <c r="A4" s="10"/>
      <c r="B4" s="10"/>
      <c r="C4" s="10"/>
      <c r="D4" s="11"/>
      <c r="E4" s="14" t="s">
        <v>198</v>
      </c>
      <c r="F4" s="10" t="s">
        <v>197</v>
      </c>
      <c r="G4" s="73">
        <v>0.25</v>
      </c>
      <c r="H4" s="10">
        <v>9</v>
      </c>
      <c r="I4" s="10">
        <v>11</v>
      </c>
      <c r="J4" s="166">
        <f>(I4*1000)*0.25</f>
        <v>2750</v>
      </c>
      <c r="K4" s="11">
        <v>0</v>
      </c>
      <c r="L4" s="66">
        <f t="shared" ref="L4" si="1">J4-K4</f>
        <v>2750</v>
      </c>
      <c r="M4" s="82">
        <f t="shared" si="0"/>
        <v>5500</v>
      </c>
      <c r="N4" s="82"/>
      <c r="O4" s="10" t="s">
        <v>73</v>
      </c>
      <c r="P4" s="10" t="s">
        <v>149</v>
      </c>
      <c r="Q4" s="10"/>
    </row>
    <row r="5" spans="1:17" ht="14.4" x14ac:dyDescent="0.3">
      <c r="A5" s="10"/>
      <c r="B5" s="10"/>
      <c r="C5" s="10"/>
      <c r="D5" s="11"/>
      <c r="E5" s="14"/>
      <c r="F5" s="10"/>
      <c r="G5" s="73"/>
      <c r="H5" s="10"/>
      <c r="I5" s="10"/>
      <c r="J5" s="165"/>
      <c r="K5" s="11"/>
      <c r="L5" s="66"/>
      <c r="M5" s="13"/>
      <c r="N5" s="13"/>
      <c r="O5" s="14"/>
      <c r="P5" s="14"/>
      <c r="Q5" s="10"/>
    </row>
    <row r="6" spans="1:17" ht="14.4" x14ac:dyDescent="0.3">
      <c r="A6" s="16"/>
      <c r="B6" s="10" t="s">
        <v>199</v>
      </c>
      <c r="C6" s="10" t="s">
        <v>237</v>
      </c>
      <c r="D6" s="10">
        <v>250</v>
      </c>
      <c r="E6" s="103" t="s">
        <v>200</v>
      </c>
      <c r="F6" s="104" t="s">
        <v>12</v>
      </c>
      <c r="G6" s="108">
        <v>0.5</v>
      </c>
      <c r="H6" s="109">
        <v>12</v>
      </c>
      <c r="I6" s="10">
        <v>250</v>
      </c>
      <c r="J6" s="166">
        <f>(I6*1000)*0.5</f>
        <v>125000</v>
      </c>
      <c r="K6" s="11">
        <v>0</v>
      </c>
      <c r="L6" s="146">
        <f>J6</f>
        <v>125000</v>
      </c>
      <c r="M6" s="87">
        <f>L6*2</f>
        <v>250000</v>
      </c>
      <c r="N6" s="22"/>
      <c r="O6" s="10" t="s">
        <v>233</v>
      </c>
      <c r="P6" s="10"/>
      <c r="Q6" s="10"/>
    </row>
    <row r="7" spans="1:17" ht="14.4" x14ac:dyDescent="0.3">
      <c r="A7" s="10"/>
      <c r="B7" s="58"/>
      <c r="C7" s="58"/>
      <c r="D7" s="164"/>
      <c r="E7" s="105" t="s">
        <v>200</v>
      </c>
      <c r="F7" s="53" t="s">
        <v>15</v>
      </c>
      <c r="G7" s="107">
        <v>0.5</v>
      </c>
      <c r="H7" s="110">
        <v>12</v>
      </c>
      <c r="I7" s="53">
        <f>470-I6</f>
        <v>220</v>
      </c>
      <c r="J7" s="167"/>
      <c r="K7" s="54"/>
      <c r="L7" s="106"/>
      <c r="M7" s="53"/>
      <c r="N7" s="53"/>
      <c r="O7" s="53" t="s">
        <v>201</v>
      </c>
      <c r="P7" s="53"/>
      <c r="Q7" s="53"/>
    </row>
    <row r="8" spans="1:17" ht="14.4" x14ac:dyDescent="0.3">
      <c r="A8" s="26"/>
      <c r="B8" s="26"/>
      <c r="C8" s="27"/>
      <c r="D8" s="27"/>
      <c r="E8" s="27"/>
      <c r="F8" s="28"/>
      <c r="G8" s="26"/>
      <c r="H8" s="27"/>
      <c r="I8" s="29" t="s">
        <v>32</v>
      </c>
      <c r="J8" s="60"/>
      <c r="K8" s="180"/>
      <c r="L8" s="30" t="s">
        <v>27</v>
      </c>
      <c r="M8" s="26"/>
      <c r="N8" s="26"/>
      <c r="O8" s="26"/>
      <c r="P8" s="27"/>
      <c r="Q8" s="27"/>
    </row>
    <row r="9" spans="1:17" ht="14.4" x14ac:dyDescent="0.3">
      <c r="A9" s="32"/>
      <c r="B9" s="32"/>
      <c r="C9" s="33"/>
      <c r="D9" s="89"/>
      <c r="E9" s="33"/>
      <c r="F9" s="34"/>
      <c r="G9" s="35"/>
      <c r="H9" s="33"/>
      <c r="I9" s="36">
        <f>I3+I4+I6</f>
        <v>282</v>
      </c>
      <c r="J9" s="36">
        <f>SUM(J3:J8)</f>
        <v>133000</v>
      </c>
      <c r="K9" s="36"/>
      <c r="L9" s="37">
        <f>SUM(L3:L8)</f>
        <v>133000</v>
      </c>
      <c r="M9" s="151">
        <f>SUM(M3:M8)</f>
        <v>266000</v>
      </c>
      <c r="N9" s="39"/>
      <c r="O9" s="39"/>
      <c r="P9" s="33"/>
      <c r="Q9" s="33"/>
    </row>
    <row r="11" spans="1:17" x14ac:dyDescent="0.2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</row>
    <row r="12" spans="1:17" x14ac:dyDescent="0.2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</row>
  </sheetData>
  <pageMargins left="0.70866141732283472" right="0.70866141732283472" top="0.74803149606299213" bottom="0.74803149606299213" header="0.31496062992125984" footer="0.31496062992125984"/>
  <pageSetup paperSize="8" scale="57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17A37-7DB6-44EA-90ED-E65C336C5D03}">
  <sheetPr>
    <pageSetUpPr fitToPage="1"/>
  </sheetPr>
  <dimension ref="A1:Q41"/>
  <sheetViews>
    <sheetView zoomScale="80" zoomScaleNormal="80" workbookViewId="0">
      <selection activeCell="I67" sqref="I67"/>
    </sheetView>
  </sheetViews>
  <sheetFormatPr baseColWidth="10" defaultRowHeight="13.8" x14ac:dyDescent="0.25"/>
  <cols>
    <col min="2" max="2" width="33.5" customWidth="1"/>
    <col min="3" max="3" width="23.09765625" customWidth="1"/>
    <col min="5" max="5" width="16.5" customWidth="1"/>
    <col min="9" max="9" width="19.5" customWidth="1"/>
    <col min="10" max="10" width="17.5" customWidth="1"/>
    <col min="11" max="11" width="15.19921875" customWidth="1"/>
    <col min="12" max="12" width="17.19921875" customWidth="1"/>
    <col min="13" max="13" width="19.59765625" customWidth="1"/>
    <col min="14" max="14" width="22" customWidth="1"/>
    <col min="17" max="17" width="32.5" customWidth="1"/>
  </cols>
  <sheetData>
    <row r="1" spans="1:17" ht="14.4" x14ac:dyDescent="0.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18" x14ac:dyDescent="0.35">
      <c r="A2" s="163" t="s">
        <v>230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28.8" customHeight="1" x14ac:dyDescent="0.3">
      <c r="A3" s="68" t="s">
        <v>0</v>
      </c>
      <c r="B3" s="69" t="s">
        <v>1</v>
      </c>
      <c r="C3" s="69" t="s">
        <v>2</v>
      </c>
      <c r="D3" s="70" t="s">
        <v>19</v>
      </c>
      <c r="E3" s="69" t="s">
        <v>5</v>
      </c>
      <c r="F3" s="69" t="s">
        <v>6</v>
      </c>
      <c r="G3" s="69" t="s">
        <v>3</v>
      </c>
      <c r="H3" s="69" t="s">
        <v>4</v>
      </c>
      <c r="I3" s="70" t="s">
        <v>31</v>
      </c>
      <c r="J3" s="71" t="s">
        <v>116</v>
      </c>
      <c r="K3" s="5" t="s">
        <v>235</v>
      </c>
      <c r="L3" s="72" t="s">
        <v>28</v>
      </c>
      <c r="M3" s="70" t="s">
        <v>29</v>
      </c>
      <c r="N3" s="70" t="s">
        <v>30</v>
      </c>
      <c r="O3" s="69" t="s">
        <v>7</v>
      </c>
      <c r="P3" s="69" t="s">
        <v>35</v>
      </c>
      <c r="Q3" s="8"/>
    </row>
    <row r="4" spans="1:17" ht="14.4" x14ac:dyDescent="0.3">
      <c r="A4" s="9" t="s">
        <v>117</v>
      </c>
      <c r="B4" s="14" t="s">
        <v>125</v>
      </c>
      <c r="C4" s="14" t="s">
        <v>118</v>
      </c>
      <c r="D4" s="74">
        <v>9.9</v>
      </c>
      <c r="E4" s="14"/>
      <c r="F4" s="14" t="s">
        <v>119</v>
      </c>
      <c r="G4" s="14"/>
      <c r="H4" s="14"/>
      <c r="I4" s="14">
        <v>0</v>
      </c>
      <c r="J4" s="75">
        <v>0</v>
      </c>
      <c r="K4" s="74"/>
      <c r="L4" s="76"/>
      <c r="M4" s="13">
        <f t="shared" ref="M4:M6" si="0">L4*2</f>
        <v>0</v>
      </c>
      <c r="N4" s="13">
        <f t="shared" ref="N4:N5" si="1">L4*3</f>
        <v>0</v>
      </c>
      <c r="O4" s="14" t="s">
        <v>120</v>
      </c>
      <c r="P4" s="14" t="s">
        <v>95</v>
      </c>
      <c r="Q4" s="14"/>
    </row>
    <row r="5" spans="1:17" ht="14.4" x14ac:dyDescent="0.3">
      <c r="A5" s="10"/>
      <c r="B5" s="10"/>
      <c r="C5" s="10"/>
      <c r="D5" s="11"/>
      <c r="E5" s="10"/>
      <c r="F5" s="10"/>
      <c r="G5" s="10"/>
      <c r="H5" s="10"/>
      <c r="I5" s="10"/>
      <c r="J5" s="67"/>
      <c r="K5" s="67"/>
      <c r="L5" s="66"/>
      <c r="M5" s="13">
        <f t="shared" si="0"/>
        <v>0</v>
      </c>
      <c r="N5" s="13">
        <f t="shared" si="1"/>
        <v>0</v>
      </c>
      <c r="O5" s="14"/>
      <c r="P5" s="10"/>
      <c r="Q5" s="10"/>
    </row>
    <row r="6" spans="1:17" ht="14.4" x14ac:dyDescent="0.3">
      <c r="A6" s="10"/>
      <c r="B6" s="10" t="s">
        <v>122</v>
      </c>
      <c r="C6" s="10" t="s">
        <v>118</v>
      </c>
      <c r="D6" s="11">
        <v>24.2</v>
      </c>
      <c r="E6" s="10" t="s">
        <v>23</v>
      </c>
      <c r="F6" s="10" t="s">
        <v>121</v>
      </c>
      <c r="G6" s="73">
        <v>0.5</v>
      </c>
      <c r="H6" s="10" t="s">
        <v>123</v>
      </c>
      <c r="I6" s="10">
        <v>24.2</v>
      </c>
      <c r="J6" s="67">
        <f t="shared" ref="J6" si="2">I6/2*1000</f>
        <v>12100</v>
      </c>
      <c r="K6" s="11">
        <v>0</v>
      </c>
      <c r="L6" s="66">
        <f>J6-K6</f>
        <v>12100</v>
      </c>
      <c r="M6" s="13">
        <f t="shared" si="0"/>
        <v>24200</v>
      </c>
      <c r="N6" s="13">
        <v>0</v>
      </c>
      <c r="O6" s="14" t="s">
        <v>124</v>
      </c>
      <c r="P6" s="10" t="s">
        <v>149</v>
      </c>
      <c r="Q6" s="10"/>
    </row>
    <row r="7" spans="1:17" ht="14.4" x14ac:dyDescent="0.3">
      <c r="A7" s="10"/>
      <c r="B7" s="10"/>
      <c r="C7" s="10"/>
      <c r="D7" s="10"/>
      <c r="E7" s="23"/>
      <c r="F7" s="10"/>
      <c r="G7" s="10"/>
      <c r="H7" s="10"/>
      <c r="I7" s="10"/>
      <c r="J7" s="53"/>
      <c r="K7" s="10"/>
      <c r="L7" s="24"/>
      <c r="M7" s="10"/>
      <c r="N7" s="10"/>
      <c r="O7" s="10"/>
      <c r="P7" s="10"/>
      <c r="Q7" s="10"/>
    </row>
    <row r="8" spans="1:17" ht="14.4" x14ac:dyDescent="0.3">
      <c r="A8" s="26"/>
      <c r="B8" s="26"/>
      <c r="C8" s="27"/>
      <c r="D8" s="27"/>
      <c r="E8" s="27"/>
      <c r="F8" s="28"/>
      <c r="G8" s="26"/>
      <c r="H8" s="27"/>
      <c r="I8" s="29" t="s">
        <v>32</v>
      </c>
      <c r="J8" s="60"/>
      <c r="K8" s="29"/>
      <c r="L8" s="30" t="s">
        <v>27</v>
      </c>
      <c r="M8" s="26"/>
      <c r="N8" s="26"/>
      <c r="O8" s="26"/>
      <c r="P8" s="27"/>
      <c r="Q8" s="27"/>
    </row>
    <row r="9" spans="1:17" ht="14.4" x14ac:dyDescent="0.3">
      <c r="A9" s="32"/>
      <c r="B9" s="32"/>
      <c r="C9" s="33"/>
      <c r="D9" s="33"/>
      <c r="E9" s="33"/>
      <c r="F9" s="34"/>
      <c r="G9" s="35"/>
      <c r="H9" s="33"/>
      <c r="I9" s="36">
        <f>SUM(I4:I8)</f>
        <v>24.2</v>
      </c>
      <c r="J9" s="36"/>
      <c r="K9" s="36"/>
      <c r="L9" s="37">
        <f>SUM(L4:L8)</f>
        <v>12100</v>
      </c>
      <c r="M9" s="39"/>
      <c r="N9" s="39"/>
      <c r="O9" s="39"/>
      <c r="P9" s="33"/>
      <c r="Q9" s="33"/>
    </row>
    <row r="10" spans="1:17" ht="14.4" x14ac:dyDescent="0.3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</row>
    <row r="11" spans="1:17" ht="28.8" customHeight="1" x14ac:dyDescent="0.3">
      <c r="A11" s="68" t="s">
        <v>0</v>
      </c>
      <c r="B11" s="69" t="s">
        <v>1</v>
      </c>
      <c r="C11" s="69" t="s">
        <v>2</v>
      </c>
      <c r="D11" s="70" t="s">
        <v>19</v>
      </c>
      <c r="E11" s="69" t="s">
        <v>5</v>
      </c>
      <c r="F11" s="69" t="s">
        <v>6</v>
      </c>
      <c r="G11" s="69" t="s">
        <v>3</v>
      </c>
      <c r="H11" s="69" t="s">
        <v>4</v>
      </c>
      <c r="I11" s="70" t="s">
        <v>31</v>
      </c>
      <c r="J11" s="71" t="s">
        <v>116</v>
      </c>
      <c r="K11" s="70" t="s">
        <v>158</v>
      </c>
      <c r="L11" s="72" t="s">
        <v>28</v>
      </c>
      <c r="M11" s="70" t="s">
        <v>29</v>
      </c>
      <c r="N11" s="70" t="s">
        <v>30</v>
      </c>
      <c r="O11" s="69" t="s">
        <v>7</v>
      </c>
      <c r="P11" s="69" t="s">
        <v>35</v>
      </c>
      <c r="Q11" s="8"/>
    </row>
    <row r="12" spans="1:17" ht="14.4" x14ac:dyDescent="0.3">
      <c r="A12" s="9" t="s">
        <v>126</v>
      </c>
      <c r="B12" s="10" t="s">
        <v>161</v>
      </c>
      <c r="C12" s="10" t="s">
        <v>93</v>
      </c>
      <c r="D12" s="74">
        <v>43</v>
      </c>
      <c r="E12" s="10" t="s">
        <v>151</v>
      </c>
      <c r="F12" s="10" t="s">
        <v>152</v>
      </c>
      <c r="G12" s="73">
        <v>0.8</v>
      </c>
      <c r="H12" s="10"/>
      <c r="I12" s="10">
        <v>13.913</v>
      </c>
      <c r="J12" s="166">
        <f>(I12*1000)*0.8</f>
        <v>11130.400000000001</v>
      </c>
      <c r="K12" s="172">
        <v>2500</v>
      </c>
      <c r="L12" s="173">
        <f>J12-K12</f>
        <v>8630.4000000000015</v>
      </c>
      <c r="M12" s="174">
        <f t="shared" ref="M12:M20" si="3">L12*2</f>
        <v>17260.800000000003</v>
      </c>
      <c r="N12" s="174"/>
      <c r="O12" s="14" t="s">
        <v>25</v>
      </c>
      <c r="P12" s="14" t="s">
        <v>159</v>
      </c>
      <c r="Q12" s="14"/>
    </row>
    <row r="13" spans="1:17" ht="14.4" x14ac:dyDescent="0.3">
      <c r="A13" s="10"/>
      <c r="B13" s="10"/>
      <c r="C13" s="10"/>
      <c r="D13" s="11"/>
      <c r="E13" s="10" t="s">
        <v>69</v>
      </c>
      <c r="F13" s="10" t="s">
        <v>153</v>
      </c>
      <c r="G13" s="73">
        <v>0.8</v>
      </c>
      <c r="H13" s="10"/>
      <c r="I13" s="10">
        <v>9.5</v>
      </c>
      <c r="J13" s="166">
        <f t="shared" ref="J13:J17" si="4">(I13*1000)*0.8</f>
        <v>7600</v>
      </c>
      <c r="K13" s="172">
        <v>1200</v>
      </c>
      <c r="L13" s="173">
        <f t="shared" ref="L13:L14" si="5">J13-K13</f>
        <v>6400</v>
      </c>
      <c r="M13" s="175">
        <f t="shared" si="3"/>
        <v>12800</v>
      </c>
      <c r="N13" s="175"/>
      <c r="O13" s="14" t="s">
        <v>25</v>
      </c>
      <c r="P13" s="10"/>
      <c r="Q13" s="10"/>
    </row>
    <row r="14" spans="1:17" ht="14.4" x14ac:dyDescent="0.3">
      <c r="A14" s="10"/>
      <c r="B14" s="10"/>
      <c r="C14" s="10"/>
      <c r="D14" s="11"/>
      <c r="E14" s="10" t="s">
        <v>69</v>
      </c>
      <c r="F14" s="10" t="s">
        <v>154</v>
      </c>
      <c r="G14" s="73">
        <v>0.8</v>
      </c>
      <c r="H14" s="10"/>
      <c r="I14" s="10">
        <v>5.23</v>
      </c>
      <c r="J14" s="166">
        <f t="shared" si="4"/>
        <v>4184</v>
      </c>
      <c r="K14" s="166">
        <v>1200</v>
      </c>
      <c r="L14" s="173">
        <f t="shared" si="5"/>
        <v>2984</v>
      </c>
      <c r="M14" s="175">
        <f t="shared" si="3"/>
        <v>5968</v>
      </c>
      <c r="N14" s="175"/>
      <c r="O14" s="14" t="s">
        <v>25</v>
      </c>
      <c r="P14" s="10"/>
      <c r="Q14" s="10"/>
    </row>
    <row r="15" spans="1:17" ht="14.4" x14ac:dyDescent="0.3">
      <c r="A15" s="10"/>
      <c r="B15" s="84"/>
      <c r="C15" s="10"/>
      <c r="D15" s="11"/>
      <c r="E15" s="10" t="s">
        <v>69</v>
      </c>
      <c r="F15" s="10" t="s">
        <v>155</v>
      </c>
      <c r="G15" s="73">
        <v>0.8</v>
      </c>
      <c r="H15" s="10"/>
      <c r="I15" s="10">
        <v>4.8929999999999998</v>
      </c>
      <c r="J15" s="166">
        <f t="shared" si="4"/>
        <v>3914.4</v>
      </c>
      <c r="K15" s="172">
        <v>2000</v>
      </c>
      <c r="L15" s="173">
        <f>J15-K15</f>
        <v>1914.4</v>
      </c>
      <c r="M15" s="175">
        <f t="shared" si="3"/>
        <v>3828.8</v>
      </c>
      <c r="N15" s="175"/>
      <c r="O15" s="14" t="s">
        <v>25</v>
      </c>
      <c r="P15" s="10"/>
      <c r="Q15" s="10"/>
    </row>
    <row r="16" spans="1:17" ht="14.4" x14ac:dyDescent="0.3">
      <c r="A16" s="10"/>
      <c r="B16" s="10"/>
      <c r="C16" s="10"/>
      <c r="D16" s="11"/>
      <c r="E16" s="10" t="s">
        <v>69</v>
      </c>
      <c r="F16" s="10" t="s">
        <v>156</v>
      </c>
      <c r="G16" s="73">
        <v>0.8</v>
      </c>
      <c r="H16" s="10"/>
      <c r="I16" s="10">
        <v>4.51</v>
      </c>
      <c r="J16" s="166">
        <f t="shared" si="4"/>
        <v>3608</v>
      </c>
      <c r="K16" s="172">
        <v>1600</v>
      </c>
      <c r="L16" s="173">
        <f t="shared" ref="L16:L25" si="6">J16-K16</f>
        <v>2008</v>
      </c>
      <c r="M16" s="175">
        <f t="shared" si="3"/>
        <v>4016</v>
      </c>
      <c r="N16" s="175"/>
      <c r="O16" s="14" t="s">
        <v>25</v>
      </c>
      <c r="P16" s="10"/>
      <c r="Q16" s="10"/>
    </row>
    <row r="17" spans="1:17" ht="14.4" x14ac:dyDescent="0.3">
      <c r="A17" s="10"/>
      <c r="B17" s="10"/>
      <c r="C17" s="10"/>
      <c r="D17" s="11"/>
      <c r="E17" s="10" t="s">
        <v>69</v>
      </c>
      <c r="F17" s="10" t="s">
        <v>157</v>
      </c>
      <c r="G17" s="73">
        <v>0.8</v>
      </c>
      <c r="H17" s="10"/>
      <c r="I17" s="10">
        <v>4.7839999999999998</v>
      </c>
      <c r="J17" s="166">
        <f t="shared" si="4"/>
        <v>3827.2000000000003</v>
      </c>
      <c r="K17" s="172">
        <v>1500</v>
      </c>
      <c r="L17" s="173">
        <f t="shared" si="6"/>
        <v>2327.2000000000003</v>
      </c>
      <c r="M17" s="175">
        <f t="shared" si="3"/>
        <v>4654.4000000000005</v>
      </c>
      <c r="N17" s="175"/>
      <c r="O17" s="14" t="s">
        <v>25</v>
      </c>
      <c r="P17" s="10"/>
      <c r="Q17" s="10"/>
    </row>
    <row r="18" spans="1:17" ht="14.4" x14ac:dyDescent="0.3">
      <c r="A18" s="10"/>
      <c r="B18" s="10"/>
      <c r="C18" s="10"/>
      <c r="D18" s="11"/>
      <c r="E18" s="10"/>
      <c r="F18" s="10"/>
      <c r="G18" s="73"/>
      <c r="H18" s="10"/>
      <c r="I18" s="10"/>
      <c r="J18" s="166"/>
      <c r="K18" s="172"/>
      <c r="L18" s="173"/>
      <c r="M18" s="175"/>
      <c r="N18" s="175"/>
      <c r="O18" s="14"/>
      <c r="P18" s="10"/>
      <c r="Q18" s="10"/>
    </row>
    <row r="19" spans="1:17" ht="12.6" customHeight="1" x14ac:dyDescent="0.3">
      <c r="A19" s="10"/>
      <c r="B19" s="84" t="s">
        <v>162</v>
      </c>
      <c r="C19" s="84" t="s">
        <v>93</v>
      </c>
      <c r="D19" s="11">
        <f>I19+I20+I21</f>
        <v>47.5</v>
      </c>
      <c r="E19" s="10" t="s">
        <v>69</v>
      </c>
      <c r="F19" s="10" t="s">
        <v>163</v>
      </c>
      <c r="G19" s="73">
        <v>0.5</v>
      </c>
      <c r="H19" s="10" t="s">
        <v>166</v>
      </c>
      <c r="I19" s="10">
        <v>10</v>
      </c>
      <c r="J19" s="166">
        <f>(I19*1000)*0.5</f>
        <v>5000</v>
      </c>
      <c r="K19" s="172">
        <v>1700</v>
      </c>
      <c r="L19" s="173">
        <f t="shared" si="6"/>
        <v>3300</v>
      </c>
      <c r="M19" s="175">
        <f t="shared" si="3"/>
        <v>6600</v>
      </c>
      <c r="N19" s="175"/>
      <c r="O19" s="14" t="s">
        <v>25</v>
      </c>
      <c r="P19" s="10"/>
      <c r="Q19" s="10"/>
    </row>
    <row r="20" spans="1:17" ht="14.4" x14ac:dyDescent="0.3">
      <c r="A20" s="10"/>
      <c r="B20" s="10"/>
      <c r="C20" s="10"/>
      <c r="D20" s="11"/>
      <c r="E20" s="10" t="s">
        <v>69</v>
      </c>
      <c r="F20" s="10" t="s">
        <v>165</v>
      </c>
      <c r="G20" s="73">
        <v>0.5</v>
      </c>
      <c r="H20" s="10" t="s">
        <v>166</v>
      </c>
      <c r="I20" s="10">
        <v>12</v>
      </c>
      <c r="J20" s="166">
        <f t="shared" ref="J20" si="7">(I20*1000)*0.5</f>
        <v>6000</v>
      </c>
      <c r="K20" s="166">
        <v>650</v>
      </c>
      <c r="L20" s="173">
        <f t="shared" si="6"/>
        <v>5350</v>
      </c>
      <c r="M20" s="175">
        <f t="shared" si="3"/>
        <v>10700</v>
      </c>
      <c r="N20" s="175"/>
      <c r="O20" s="14" t="s">
        <v>25</v>
      </c>
      <c r="P20" s="10"/>
      <c r="Q20" s="10"/>
    </row>
    <row r="21" spans="1:17" ht="14.4" x14ac:dyDescent="0.3">
      <c r="A21" s="16"/>
      <c r="B21" s="10"/>
      <c r="C21" s="16"/>
      <c r="D21" s="17"/>
      <c r="E21" s="85" t="s">
        <v>69</v>
      </c>
      <c r="F21" s="86" t="s">
        <v>164</v>
      </c>
      <c r="G21" s="73">
        <v>0.5</v>
      </c>
      <c r="H21" s="10" t="s">
        <v>166</v>
      </c>
      <c r="I21" s="10">
        <v>25.5</v>
      </c>
      <c r="J21" s="166">
        <f>(I21*1000)*0.5</f>
        <v>12750</v>
      </c>
      <c r="K21" s="172">
        <v>2000</v>
      </c>
      <c r="L21" s="173">
        <f t="shared" si="6"/>
        <v>10750</v>
      </c>
      <c r="M21" s="172">
        <f>L21*2</f>
        <v>21500</v>
      </c>
      <c r="N21" s="172"/>
      <c r="O21" s="14" t="s">
        <v>25</v>
      </c>
      <c r="P21" s="10"/>
      <c r="Q21" s="10"/>
    </row>
    <row r="22" spans="1:17" ht="14.4" x14ac:dyDescent="0.3">
      <c r="A22" s="16"/>
      <c r="B22" s="10"/>
      <c r="C22" s="16"/>
      <c r="D22" s="17"/>
      <c r="E22" s="85"/>
      <c r="F22" s="86"/>
      <c r="G22" s="73"/>
      <c r="H22" s="10"/>
      <c r="I22" s="10"/>
      <c r="J22" s="166"/>
      <c r="K22" s="172"/>
      <c r="L22" s="173"/>
      <c r="M22" s="172"/>
      <c r="N22" s="172"/>
      <c r="O22" s="14"/>
      <c r="P22" s="10"/>
      <c r="Q22" s="10"/>
    </row>
    <row r="23" spans="1:17" ht="14.4" x14ac:dyDescent="0.3">
      <c r="A23" s="16"/>
      <c r="B23" s="10" t="s">
        <v>167</v>
      </c>
      <c r="C23" s="16" t="s">
        <v>93</v>
      </c>
      <c r="D23" s="17">
        <v>47.2</v>
      </c>
      <c r="E23" s="85" t="s">
        <v>171</v>
      </c>
      <c r="F23" s="86" t="s">
        <v>168</v>
      </c>
      <c r="G23" s="73">
        <v>0.8</v>
      </c>
      <c r="H23" s="10" t="s">
        <v>172</v>
      </c>
      <c r="I23" s="10">
        <v>5.2</v>
      </c>
      <c r="J23" s="166">
        <f>I23*1000*0.8</f>
        <v>4160</v>
      </c>
      <c r="K23" s="172">
        <v>1000</v>
      </c>
      <c r="L23" s="173">
        <f t="shared" si="6"/>
        <v>3160</v>
      </c>
      <c r="M23" s="172">
        <f t="shared" ref="M23:M25" si="8">L23*2</f>
        <v>6320</v>
      </c>
      <c r="N23" s="172">
        <f>L23*3</f>
        <v>9480</v>
      </c>
      <c r="O23" s="14" t="s">
        <v>73</v>
      </c>
      <c r="P23" s="10" t="s">
        <v>173</v>
      </c>
      <c r="Q23" s="10"/>
    </row>
    <row r="24" spans="1:17" ht="14.4" x14ac:dyDescent="0.3">
      <c r="A24" s="16"/>
      <c r="B24" s="10"/>
      <c r="C24" s="16"/>
      <c r="D24" s="17"/>
      <c r="E24" s="85" t="s">
        <v>171</v>
      </c>
      <c r="F24" s="86" t="s">
        <v>169</v>
      </c>
      <c r="G24" s="73">
        <v>0.8</v>
      </c>
      <c r="H24" s="10" t="s">
        <v>172</v>
      </c>
      <c r="I24" s="10">
        <v>29</v>
      </c>
      <c r="J24" s="166">
        <f t="shared" ref="J24:J25" si="9">I24*1000*0.8</f>
        <v>23200</v>
      </c>
      <c r="K24" s="172">
        <v>2100</v>
      </c>
      <c r="L24" s="173">
        <f t="shared" si="6"/>
        <v>21100</v>
      </c>
      <c r="M24" s="172">
        <f t="shared" si="8"/>
        <v>42200</v>
      </c>
      <c r="N24" s="172">
        <f t="shared" ref="N24:N25" si="10">L24*3</f>
        <v>63300</v>
      </c>
      <c r="O24" s="14" t="s">
        <v>73</v>
      </c>
      <c r="P24" s="10" t="s">
        <v>173</v>
      </c>
      <c r="Q24" s="10"/>
    </row>
    <row r="25" spans="1:17" ht="14.4" x14ac:dyDescent="0.3">
      <c r="A25" s="16"/>
      <c r="B25" s="10"/>
      <c r="C25" s="16"/>
      <c r="D25" s="17"/>
      <c r="E25" s="85" t="s">
        <v>171</v>
      </c>
      <c r="F25" s="86" t="s">
        <v>170</v>
      </c>
      <c r="G25" s="73">
        <v>0.8</v>
      </c>
      <c r="H25" s="10" t="s">
        <v>172</v>
      </c>
      <c r="I25" s="10">
        <v>13</v>
      </c>
      <c r="J25" s="166">
        <f t="shared" si="9"/>
        <v>10400</v>
      </c>
      <c r="K25" s="172">
        <f>400+1700+500+370+350</f>
        <v>3320</v>
      </c>
      <c r="L25" s="173">
        <f t="shared" si="6"/>
        <v>7080</v>
      </c>
      <c r="M25" s="172">
        <f t="shared" si="8"/>
        <v>14160</v>
      </c>
      <c r="N25" s="172">
        <f t="shared" si="10"/>
        <v>21240</v>
      </c>
      <c r="O25" s="14" t="s">
        <v>73</v>
      </c>
      <c r="P25" s="10" t="s">
        <v>173</v>
      </c>
      <c r="Q25" s="10"/>
    </row>
    <row r="26" spans="1:17" ht="14.4" x14ac:dyDescent="0.3">
      <c r="A26" s="16"/>
      <c r="B26" s="10"/>
      <c r="C26" s="16"/>
      <c r="D26" s="17"/>
      <c r="E26" s="85"/>
      <c r="F26" s="86"/>
      <c r="G26" s="73"/>
      <c r="H26" s="10"/>
      <c r="I26" s="10"/>
      <c r="J26" s="166"/>
      <c r="K26" s="172"/>
      <c r="L26" s="173"/>
      <c r="M26" s="172"/>
      <c r="N26" s="172"/>
      <c r="O26" s="14"/>
      <c r="P26" s="10"/>
      <c r="Q26" s="10"/>
    </row>
    <row r="27" spans="1:17" ht="14.4" x14ac:dyDescent="0.3">
      <c r="A27" s="16"/>
      <c r="B27" s="10" t="s">
        <v>175</v>
      </c>
      <c r="C27" s="16"/>
      <c r="D27" s="17"/>
      <c r="E27" s="85" t="s">
        <v>69</v>
      </c>
      <c r="F27" s="86" t="s">
        <v>176</v>
      </c>
      <c r="G27" s="73">
        <v>0.5</v>
      </c>
      <c r="H27" s="10" t="s">
        <v>38</v>
      </c>
      <c r="I27" s="10">
        <v>2</v>
      </c>
      <c r="J27" s="166">
        <f>(I27*1000)*0.5</f>
        <v>1000</v>
      </c>
      <c r="K27" s="172">
        <v>0</v>
      </c>
      <c r="L27" s="173">
        <f>J27-K27</f>
        <v>1000</v>
      </c>
      <c r="M27" s="172">
        <f>L27*2</f>
        <v>2000</v>
      </c>
      <c r="N27" s="172"/>
      <c r="O27" s="14" t="s">
        <v>73</v>
      </c>
      <c r="P27" s="10" t="s">
        <v>177</v>
      </c>
      <c r="Q27" s="10"/>
    </row>
    <row r="28" spans="1:17" ht="14.4" x14ac:dyDescent="0.3">
      <c r="A28" s="16"/>
      <c r="B28" s="10"/>
      <c r="C28" s="16"/>
      <c r="D28" s="17"/>
      <c r="E28" s="85"/>
      <c r="F28" s="86"/>
      <c r="G28" s="73"/>
      <c r="H28" s="10"/>
      <c r="I28" s="10"/>
      <c r="J28" s="166"/>
      <c r="K28" s="172"/>
      <c r="L28" s="173"/>
      <c r="M28" s="172"/>
      <c r="N28" s="172"/>
      <c r="O28" s="14"/>
      <c r="P28" s="10"/>
      <c r="Q28" s="10"/>
    </row>
    <row r="29" spans="1:17" ht="14.4" x14ac:dyDescent="0.3">
      <c r="A29" s="10"/>
      <c r="B29" s="14" t="s">
        <v>127</v>
      </c>
      <c r="C29" s="14" t="s">
        <v>118</v>
      </c>
      <c r="D29" s="10">
        <v>40</v>
      </c>
      <c r="E29" s="23"/>
      <c r="F29" s="10"/>
      <c r="G29" s="10"/>
      <c r="H29" s="10"/>
      <c r="I29" s="10"/>
      <c r="J29" s="53"/>
      <c r="K29" s="10"/>
      <c r="L29" s="24"/>
      <c r="M29" s="10"/>
      <c r="N29" s="10"/>
      <c r="O29" s="10" t="s">
        <v>120</v>
      </c>
      <c r="P29" s="10" t="s">
        <v>95</v>
      </c>
      <c r="Q29" s="10"/>
    </row>
    <row r="30" spans="1:17" ht="14.4" x14ac:dyDescent="0.3">
      <c r="A30" s="26"/>
      <c r="B30" s="26"/>
      <c r="C30" s="27"/>
      <c r="D30" s="27"/>
      <c r="E30" s="27"/>
      <c r="F30" s="28"/>
      <c r="G30" s="26"/>
      <c r="H30" s="27"/>
      <c r="I30" s="29" t="s">
        <v>32</v>
      </c>
      <c r="J30" s="60"/>
      <c r="K30" s="29"/>
      <c r="L30" s="30" t="s">
        <v>27</v>
      </c>
      <c r="M30" s="26"/>
      <c r="N30" s="26"/>
      <c r="O30" s="26"/>
      <c r="P30" s="27"/>
      <c r="Q30" s="27"/>
    </row>
    <row r="31" spans="1:17" ht="14.4" x14ac:dyDescent="0.3">
      <c r="A31" s="32"/>
      <c r="B31" s="32"/>
      <c r="C31" s="33"/>
      <c r="D31" s="33"/>
      <c r="E31" s="33"/>
      <c r="F31" s="34"/>
      <c r="G31" s="35"/>
      <c r="H31" s="33"/>
      <c r="I31" s="36">
        <f>SUM(I12:I30)</f>
        <v>139.53</v>
      </c>
      <c r="J31" s="36"/>
      <c r="K31" s="36"/>
      <c r="L31" s="37">
        <f>SUM(L12:L30)</f>
        <v>76004</v>
      </c>
      <c r="M31" s="39">
        <f>SUM(M12:M30)</f>
        <v>152008</v>
      </c>
      <c r="N31" s="39">
        <f>SUM(N12:N30)</f>
        <v>94020</v>
      </c>
      <c r="O31" s="39"/>
      <c r="P31" s="33"/>
      <c r="Q31" s="33"/>
    </row>
    <row r="32" spans="1:17" ht="14.4" x14ac:dyDescent="0.3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</row>
    <row r="33" spans="1:17" ht="28.8" customHeight="1" x14ac:dyDescent="0.3">
      <c r="A33" s="68" t="s">
        <v>0</v>
      </c>
      <c r="B33" s="69" t="s">
        <v>1</v>
      </c>
      <c r="C33" s="69" t="s">
        <v>2</v>
      </c>
      <c r="D33" s="70" t="s">
        <v>19</v>
      </c>
      <c r="E33" s="69" t="s">
        <v>5</v>
      </c>
      <c r="F33" s="69" t="s">
        <v>6</v>
      </c>
      <c r="G33" s="69" t="s">
        <v>3</v>
      </c>
      <c r="H33" s="69" t="s">
        <v>4</v>
      </c>
      <c r="I33" s="70" t="s">
        <v>31</v>
      </c>
      <c r="J33" s="71" t="s">
        <v>116</v>
      </c>
      <c r="K33" s="70" t="s">
        <v>26</v>
      </c>
      <c r="L33" s="72" t="s">
        <v>28</v>
      </c>
      <c r="M33" s="70" t="s">
        <v>29</v>
      </c>
      <c r="N33" s="70" t="s">
        <v>30</v>
      </c>
      <c r="O33" s="69" t="s">
        <v>7</v>
      </c>
      <c r="P33" s="69" t="s">
        <v>35</v>
      </c>
      <c r="Q33" s="8"/>
    </row>
    <row r="34" spans="1:17" ht="14.4" x14ac:dyDescent="0.3">
      <c r="A34" s="9" t="s">
        <v>128</v>
      </c>
      <c r="B34" s="14" t="s">
        <v>129</v>
      </c>
      <c r="C34" s="14" t="s">
        <v>118</v>
      </c>
      <c r="D34" s="74">
        <v>40</v>
      </c>
      <c r="E34" s="14" t="s">
        <v>105</v>
      </c>
      <c r="F34" s="14" t="s">
        <v>174</v>
      </c>
      <c r="G34" s="14"/>
      <c r="H34" s="14"/>
      <c r="I34" s="14"/>
      <c r="J34" s="75">
        <v>0</v>
      </c>
      <c r="K34" s="74"/>
      <c r="L34" s="76">
        <f>J34-K34</f>
        <v>0</v>
      </c>
      <c r="M34" s="13">
        <f t="shared" ref="M34" si="11">L34*2</f>
        <v>0</v>
      </c>
      <c r="N34" s="13">
        <f t="shared" ref="N34" si="12">L34*3</f>
        <v>0</v>
      </c>
      <c r="O34" s="14" t="s">
        <v>120</v>
      </c>
      <c r="P34" s="14" t="s">
        <v>95</v>
      </c>
      <c r="Q34" s="14"/>
    </row>
    <row r="35" spans="1:17" ht="14.4" x14ac:dyDescent="0.3">
      <c r="A35" s="10"/>
      <c r="B35" s="10"/>
      <c r="C35" s="10"/>
      <c r="D35" s="10"/>
      <c r="E35" s="23"/>
      <c r="F35" s="10"/>
      <c r="G35" s="10"/>
      <c r="H35" s="10"/>
      <c r="I35" s="10"/>
      <c r="J35" s="53"/>
      <c r="K35" s="10"/>
      <c r="L35" s="24"/>
      <c r="M35" s="10"/>
      <c r="N35" s="10"/>
      <c r="O35" s="10"/>
      <c r="P35" s="10"/>
      <c r="Q35" s="10"/>
    </row>
    <row r="36" spans="1:17" ht="14.4" x14ac:dyDescent="0.3">
      <c r="A36" s="26"/>
      <c r="B36" s="26"/>
      <c r="C36" s="27"/>
      <c r="D36" s="27"/>
      <c r="E36" s="27"/>
      <c r="F36" s="28"/>
      <c r="G36" s="26"/>
      <c r="H36" s="27"/>
      <c r="I36" s="29" t="s">
        <v>32</v>
      </c>
      <c r="J36" s="60"/>
      <c r="K36" s="29"/>
      <c r="L36" s="30" t="s">
        <v>27</v>
      </c>
      <c r="M36" s="26"/>
      <c r="N36" s="26"/>
      <c r="O36" s="26"/>
      <c r="P36" s="27"/>
      <c r="Q36" s="27"/>
    </row>
    <row r="37" spans="1:17" ht="14.4" x14ac:dyDescent="0.3">
      <c r="A37" s="32"/>
      <c r="B37" s="32"/>
      <c r="C37" s="33"/>
      <c r="D37" s="89"/>
      <c r="E37" s="33"/>
      <c r="F37" s="34"/>
      <c r="G37" s="35"/>
      <c r="H37" s="33"/>
      <c r="I37" s="36">
        <f>SUM(I34:I36)</f>
        <v>0</v>
      </c>
      <c r="J37" s="36"/>
      <c r="K37" s="36"/>
      <c r="L37" s="37">
        <v>0</v>
      </c>
      <c r="M37" s="39"/>
      <c r="N37" s="39"/>
      <c r="O37" s="39"/>
      <c r="P37" s="33"/>
      <c r="Q37" s="33"/>
    </row>
    <row r="40" spans="1:17" s="84" customFormat="1" x14ac:dyDescent="0.3">
      <c r="A40" s="176" t="s">
        <v>178</v>
      </c>
      <c r="B40" s="176"/>
      <c r="C40" s="176"/>
      <c r="D40" s="176"/>
      <c r="E40" s="176"/>
      <c r="F40" s="176"/>
      <c r="G40" s="176"/>
      <c r="H40" s="176"/>
      <c r="I40" s="177">
        <f>I9+I31</f>
        <v>163.72999999999999</v>
      </c>
      <c r="J40" s="176"/>
      <c r="K40" s="176"/>
      <c r="L40" s="178">
        <f>L9+L31</f>
        <v>88104</v>
      </c>
      <c r="M40" s="179">
        <f>M9+M31</f>
        <v>152008</v>
      </c>
      <c r="N40" s="176"/>
      <c r="O40" s="176"/>
      <c r="P40" s="176"/>
      <c r="Q40" s="176"/>
    </row>
    <row r="41" spans="1:17" x14ac:dyDescent="0.2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</row>
  </sheetData>
  <phoneticPr fontId="31" type="noConversion"/>
  <pageMargins left="0.70866141732283472" right="0.70866141732283472" top="0.74803149606299213" bottom="0.74803149606299213" header="0.31496062992125984" footer="0.31496062992125984"/>
  <pageSetup paperSize="8" scale="6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46065-00C4-490D-BA7C-55417D0E7AEF}">
  <sheetPr>
    <pageSetUpPr fitToPage="1"/>
  </sheetPr>
  <dimension ref="A2:R25"/>
  <sheetViews>
    <sheetView zoomScale="80" zoomScaleNormal="80" workbookViewId="0">
      <selection activeCell="F9" sqref="F9"/>
    </sheetView>
  </sheetViews>
  <sheetFormatPr baseColWidth="10" defaultRowHeight="13.8" x14ac:dyDescent="0.25"/>
  <cols>
    <col min="1" max="1" width="20.69921875" customWidth="1"/>
    <col min="2" max="2" width="26.796875" customWidth="1"/>
    <col min="4" max="4" width="20.5" customWidth="1"/>
    <col min="5" max="5" width="15.09765625" customWidth="1"/>
    <col min="7" max="7" width="16.796875" customWidth="1"/>
    <col min="9" max="9" width="25.5" customWidth="1"/>
    <col min="11" max="11" width="17.19921875" customWidth="1"/>
    <col min="12" max="12" width="14.5" customWidth="1"/>
    <col min="13" max="13" width="19.59765625" customWidth="1"/>
    <col min="14" max="14" width="21.59765625" customWidth="1"/>
    <col min="17" max="17" width="33" customWidth="1"/>
  </cols>
  <sheetData>
    <row r="2" spans="1:17" ht="18" x14ac:dyDescent="0.35">
      <c r="A2" s="163" t="s">
        <v>225</v>
      </c>
    </row>
    <row r="3" spans="1:17" ht="28.8" customHeight="1" x14ac:dyDescent="0.3">
      <c r="A3" s="68" t="s">
        <v>0</v>
      </c>
      <c r="B3" s="69" t="s">
        <v>1</v>
      </c>
      <c r="C3" s="69" t="s">
        <v>2</v>
      </c>
      <c r="D3" s="70" t="s">
        <v>19</v>
      </c>
      <c r="E3" s="69" t="s">
        <v>5</v>
      </c>
      <c r="F3" s="69" t="s">
        <v>6</v>
      </c>
      <c r="G3" s="69" t="s">
        <v>3</v>
      </c>
      <c r="H3" s="69" t="s">
        <v>4</v>
      </c>
      <c r="I3" s="70" t="s">
        <v>188</v>
      </c>
      <c r="J3" s="71" t="s">
        <v>116</v>
      </c>
      <c r="K3" s="5" t="s">
        <v>235</v>
      </c>
      <c r="L3" s="72" t="s">
        <v>135</v>
      </c>
      <c r="M3" s="70" t="s">
        <v>29</v>
      </c>
      <c r="N3" s="70" t="s">
        <v>30</v>
      </c>
      <c r="O3" s="69" t="s">
        <v>7</v>
      </c>
      <c r="P3" s="69" t="s">
        <v>35</v>
      </c>
      <c r="Q3" s="8"/>
    </row>
    <row r="4" spans="1:17" ht="14.4" x14ac:dyDescent="0.3">
      <c r="A4" s="9" t="s">
        <v>130</v>
      </c>
      <c r="B4" s="10" t="s">
        <v>132</v>
      </c>
      <c r="C4" s="10" t="s">
        <v>23</v>
      </c>
      <c r="D4" s="51">
        <f>I19</f>
        <v>171.23599999999999</v>
      </c>
      <c r="E4" s="10" t="s">
        <v>133</v>
      </c>
      <c r="F4" s="10" t="s">
        <v>53</v>
      </c>
      <c r="G4" s="10" t="s">
        <v>134</v>
      </c>
      <c r="H4" s="10"/>
      <c r="I4" s="172">
        <v>66431</v>
      </c>
      <c r="J4" s="166">
        <f>73500/2</f>
        <v>36750</v>
      </c>
      <c r="K4" s="172">
        <v>25000</v>
      </c>
      <c r="L4" s="173">
        <f>J4-K4</f>
        <v>11750</v>
      </c>
      <c r="M4" s="175">
        <f>L4*2</f>
        <v>23500</v>
      </c>
      <c r="N4" s="175">
        <f>L4*3</f>
        <v>35250</v>
      </c>
      <c r="O4" s="14" t="s">
        <v>25</v>
      </c>
      <c r="P4" s="10"/>
      <c r="Q4" s="10"/>
    </row>
    <row r="5" spans="1:17" ht="14.4" x14ac:dyDescent="0.3">
      <c r="A5" s="10"/>
      <c r="B5" s="10"/>
      <c r="C5" s="10"/>
      <c r="D5" s="11"/>
      <c r="E5" s="10" t="s">
        <v>136</v>
      </c>
      <c r="F5" s="10" t="s">
        <v>137</v>
      </c>
      <c r="G5" s="10" t="s">
        <v>138</v>
      </c>
      <c r="H5" s="10"/>
      <c r="I5" s="172">
        <v>21560</v>
      </c>
      <c r="J5" s="166">
        <f>23900/2</f>
        <v>11950</v>
      </c>
      <c r="K5" s="172">
        <v>2500</v>
      </c>
      <c r="L5" s="173">
        <f t="shared" ref="L5:L11" si="0">J5-K5</f>
        <v>9450</v>
      </c>
      <c r="M5" s="175">
        <f t="shared" ref="M5:M16" si="1">L5*2</f>
        <v>18900</v>
      </c>
      <c r="N5" s="175">
        <f t="shared" ref="N5:N13" si="2">L5*3</f>
        <v>28350</v>
      </c>
      <c r="O5" s="14"/>
      <c r="P5" s="10"/>
      <c r="Q5" s="10"/>
    </row>
    <row r="6" spans="1:17" ht="14.4" x14ac:dyDescent="0.3">
      <c r="A6" s="10"/>
      <c r="B6" s="10"/>
      <c r="C6" s="10"/>
      <c r="D6" s="11"/>
      <c r="E6" s="10" t="s">
        <v>139</v>
      </c>
      <c r="F6" s="10" t="s">
        <v>140</v>
      </c>
      <c r="G6" s="10" t="s">
        <v>141</v>
      </c>
      <c r="H6" s="10"/>
      <c r="I6" s="172">
        <v>11535</v>
      </c>
      <c r="J6" s="166">
        <f>I6/2</f>
        <v>5767.5</v>
      </c>
      <c r="K6" s="166"/>
      <c r="L6" s="173">
        <f t="shared" si="0"/>
        <v>5767.5</v>
      </c>
      <c r="M6" s="175">
        <f t="shared" si="1"/>
        <v>11535</v>
      </c>
      <c r="N6" s="175">
        <f t="shared" si="2"/>
        <v>17302.5</v>
      </c>
      <c r="O6" s="14"/>
      <c r="P6" s="10"/>
      <c r="Q6" s="10"/>
    </row>
    <row r="7" spans="1:17" ht="14.4" x14ac:dyDescent="0.3">
      <c r="A7" s="10"/>
      <c r="B7" s="10"/>
      <c r="C7" s="10"/>
      <c r="D7" s="11"/>
      <c r="E7" s="10" t="s">
        <v>142</v>
      </c>
      <c r="F7" s="10" t="s">
        <v>143</v>
      </c>
      <c r="G7" s="10" t="s">
        <v>144</v>
      </c>
      <c r="H7" s="10"/>
      <c r="I7" s="172">
        <v>22246</v>
      </c>
      <c r="J7" s="166">
        <f>I7/2</f>
        <v>11123</v>
      </c>
      <c r="K7" s="172"/>
      <c r="L7" s="173">
        <f>J7-K7</f>
        <v>11123</v>
      </c>
      <c r="M7" s="175">
        <f t="shared" si="1"/>
        <v>22246</v>
      </c>
      <c r="N7" s="175">
        <f t="shared" si="2"/>
        <v>33369</v>
      </c>
      <c r="O7" s="14"/>
      <c r="P7" s="10"/>
      <c r="Q7" s="10"/>
    </row>
    <row r="8" spans="1:17" ht="14.4" x14ac:dyDescent="0.3">
      <c r="A8" s="10"/>
      <c r="B8" s="10"/>
      <c r="C8" s="10"/>
      <c r="D8" s="11"/>
      <c r="E8" s="10" t="s">
        <v>145</v>
      </c>
      <c r="F8" s="10" t="s">
        <v>146</v>
      </c>
      <c r="G8" s="10" t="s">
        <v>147</v>
      </c>
      <c r="H8" s="10"/>
      <c r="I8" s="172">
        <v>6402</v>
      </c>
      <c r="J8" s="166">
        <f>I8/2</f>
        <v>3201</v>
      </c>
      <c r="K8" s="172"/>
      <c r="L8" s="173">
        <f t="shared" si="0"/>
        <v>3201</v>
      </c>
      <c r="M8" s="175">
        <f t="shared" si="1"/>
        <v>6402</v>
      </c>
      <c r="N8" s="175">
        <f t="shared" si="2"/>
        <v>9603</v>
      </c>
      <c r="O8" s="14"/>
      <c r="P8" s="10"/>
      <c r="Q8" s="10"/>
    </row>
    <row r="9" spans="1:17" ht="14.4" x14ac:dyDescent="0.3">
      <c r="A9" s="10"/>
      <c r="B9" s="10"/>
      <c r="C9" s="10"/>
      <c r="D9" s="11"/>
      <c r="E9" s="10"/>
      <c r="F9" s="10" t="s">
        <v>202</v>
      </c>
      <c r="G9" s="10">
        <v>0</v>
      </c>
      <c r="H9" s="10"/>
      <c r="I9" s="172">
        <v>0</v>
      </c>
      <c r="J9" s="166">
        <f t="shared" ref="J9:J11" si="3">I9/2*1000</f>
        <v>0</v>
      </c>
      <c r="K9" s="172"/>
      <c r="L9" s="173">
        <f t="shared" si="0"/>
        <v>0</v>
      </c>
      <c r="M9" s="175">
        <f t="shared" si="1"/>
        <v>0</v>
      </c>
      <c r="N9" s="175">
        <f t="shared" si="2"/>
        <v>0</v>
      </c>
      <c r="O9" s="14"/>
      <c r="P9" s="10" t="s">
        <v>148</v>
      </c>
      <c r="Q9" s="10"/>
    </row>
    <row r="10" spans="1:17" ht="14.4" x14ac:dyDescent="0.3">
      <c r="A10" s="10"/>
      <c r="B10" s="10"/>
      <c r="C10" s="10"/>
      <c r="D10" s="11"/>
      <c r="E10" s="10"/>
      <c r="F10" s="10"/>
      <c r="G10" s="10"/>
      <c r="H10" s="10"/>
      <c r="I10" s="172"/>
      <c r="J10" s="166"/>
      <c r="K10" s="172"/>
      <c r="L10" s="173"/>
      <c r="M10" s="175"/>
      <c r="N10" s="175"/>
      <c r="O10" s="14"/>
      <c r="P10" s="10"/>
      <c r="Q10" s="10"/>
    </row>
    <row r="11" spans="1:17" ht="14.4" x14ac:dyDescent="0.3">
      <c r="A11" s="10"/>
      <c r="B11" s="10"/>
      <c r="C11" s="10"/>
      <c r="D11" s="11"/>
      <c r="E11" s="10"/>
      <c r="F11" s="10"/>
      <c r="G11" s="10"/>
      <c r="H11" s="10"/>
      <c r="I11" s="172"/>
      <c r="J11" s="166"/>
      <c r="K11" s="166"/>
      <c r="L11" s="173"/>
      <c r="M11" s="175"/>
      <c r="N11" s="175"/>
      <c r="O11" s="14"/>
      <c r="P11" s="10"/>
      <c r="Q11" s="10"/>
    </row>
    <row r="12" spans="1:17" ht="15" customHeight="1" x14ac:dyDescent="0.3">
      <c r="A12" s="83" t="s">
        <v>160</v>
      </c>
      <c r="B12" s="10" t="s">
        <v>185</v>
      </c>
      <c r="C12" s="10"/>
      <c r="D12" s="51">
        <v>20</v>
      </c>
      <c r="E12" s="10"/>
      <c r="F12" s="10" t="s">
        <v>186</v>
      </c>
      <c r="G12" s="73">
        <v>0.35</v>
      </c>
      <c r="H12" s="10"/>
      <c r="I12" s="172">
        <v>4600</v>
      </c>
      <c r="J12" s="166">
        <f>I12*0.35</f>
        <v>1610</v>
      </c>
      <c r="K12" s="166">
        <v>0</v>
      </c>
      <c r="L12" s="173">
        <f>J12</f>
        <v>1610</v>
      </c>
      <c r="M12" s="175">
        <f t="shared" si="1"/>
        <v>3220</v>
      </c>
      <c r="N12" s="175">
        <f t="shared" si="2"/>
        <v>4830</v>
      </c>
      <c r="O12" s="14"/>
      <c r="P12" s="10"/>
      <c r="Q12" s="10"/>
    </row>
    <row r="13" spans="1:17" ht="14.4" x14ac:dyDescent="0.3">
      <c r="A13" s="10"/>
      <c r="B13" s="10"/>
      <c r="C13" s="10"/>
      <c r="D13" s="51"/>
      <c r="E13" s="10"/>
      <c r="F13" s="10" t="s">
        <v>187</v>
      </c>
      <c r="G13" s="73">
        <v>0.35</v>
      </c>
      <c r="H13" s="10"/>
      <c r="I13" s="172">
        <v>5385</v>
      </c>
      <c r="J13" s="166">
        <f>I13*0.35</f>
        <v>1884.7499999999998</v>
      </c>
      <c r="K13" s="166">
        <v>900</v>
      </c>
      <c r="L13" s="173">
        <f>J13-K13</f>
        <v>984.74999999999977</v>
      </c>
      <c r="M13" s="175">
        <f t="shared" si="1"/>
        <v>1969.4999999999995</v>
      </c>
      <c r="N13" s="175">
        <f t="shared" si="2"/>
        <v>2954.2499999999991</v>
      </c>
      <c r="O13" s="14"/>
      <c r="P13" s="10"/>
      <c r="Q13" s="10"/>
    </row>
    <row r="14" spans="1:17" ht="14.4" x14ac:dyDescent="0.3">
      <c r="A14" s="10"/>
      <c r="B14" s="10"/>
      <c r="C14" s="10"/>
      <c r="D14" s="51"/>
      <c r="E14" s="10"/>
      <c r="F14" s="10"/>
      <c r="G14" s="10"/>
      <c r="H14" s="10"/>
      <c r="I14" s="172"/>
      <c r="J14" s="166"/>
      <c r="K14" s="166"/>
      <c r="L14" s="173"/>
      <c r="M14" s="175"/>
      <c r="N14" s="175"/>
      <c r="O14" s="14"/>
      <c r="P14" s="10"/>
      <c r="Q14" s="10"/>
    </row>
    <row r="15" spans="1:17" ht="14.4" x14ac:dyDescent="0.3">
      <c r="A15" s="9" t="s">
        <v>189</v>
      </c>
      <c r="B15" s="10" t="s">
        <v>190</v>
      </c>
      <c r="C15" s="10"/>
      <c r="D15" s="51">
        <f>(I15+I16)/1000</f>
        <v>33.076999999999998</v>
      </c>
      <c r="E15" s="10" t="s">
        <v>69</v>
      </c>
      <c r="F15" s="10" t="s">
        <v>191</v>
      </c>
      <c r="G15" s="73">
        <v>0.4</v>
      </c>
      <c r="H15" s="10" t="s">
        <v>193</v>
      </c>
      <c r="I15" s="172">
        <v>29864</v>
      </c>
      <c r="J15" s="166">
        <f>I15*0.4</f>
        <v>11945.6</v>
      </c>
      <c r="K15" s="166">
        <v>5800</v>
      </c>
      <c r="L15" s="173">
        <f>J15-K15</f>
        <v>6145.6</v>
      </c>
      <c r="M15" s="175">
        <f t="shared" si="1"/>
        <v>12291.2</v>
      </c>
      <c r="N15" s="175"/>
      <c r="O15" s="14"/>
      <c r="P15" s="10"/>
      <c r="Q15" s="10"/>
    </row>
    <row r="16" spans="1:17" ht="14.4" x14ac:dyDescent="0.3">
      <c r="A16" s="10"/>
      <c r="B16" s="10"/>
      <c r="C16" s="10"/>
      <c r="D16" s="51"/>
      <c r="E16" s="10" t="s">
        <v>69</v>
      </c>
      <c r="F16" s="10" t="s">
        <v>192</v>
      </c>
      <c r="G16" s="73">
        <v>0.4</v>
      </c>
      <c r="H16" s="10" t="s">
        <v>193</v>
      </c>
      <c r="I16" s="172">
        <v>3213</v>
      </c>
      <c r="J16" s="166">
        <f>I16*0.4</f>
        <v>1285.2</v>
      </c>
      <c r="K16" s="166">
        <v>740</v>
      </c>
      <c r="L16" s="173">
        <f>J16-K16</f>
        <v>545.20000000000005</v>
      </c>
      <c r="M16" s="175">
        <f t="shared" si="1"/>
        <v>1090.4000000000001</v>
      </c>
      <c r="N16" s="175"/>
      <c r="O16" s="14"/>
      <c r="P16" s="10"/>
      <c r="Q16" s="10"/>
    </row>
    <row r="17" spans="1:18" ht="14.4" x14ac:dyDescent="0.3">
      <c r="A17" s="10"/>
      <c r="B17" s="10"/>
      <c r="C17" s="10"/>
      <c r="D17" s="9"/>
      <c r="E17" s="23"/>
      <c r="F17" s="10"/>
      <c r="G17" s="10"/>
      <c r="H17" s="10"/>
      <c r="I17" s="10"/>
      <c r="J17" s="53"/>
      <c r="K17" s="10"/>
      <c r="L17" s="24"/>
      <c r="M17" s="10"/>
      <c r="N17" s="10"/>
      <c r="O17" s="10"/>
      <c r="P17" s="10"/>
      <c r="Q17" s="10"/>
    </row>
    <row r="18" spans="1:18" ht="14.4" x14ac:dyDescent="0.3">
      <c r="A18" s="26"/>
      <c r="B18" s="26"/>
      <c r="C18" s="27"/>
      <c r="D18" s="27"/>
      <c r="E18" s="27"/>
      <c r="F18" s="28"/>
      <c r="G18" s="26"/>
      <c r="H18" s="27"/>
      <c r="I18" s="29" t="s">
        <v>32</v>
      </c>
      <c r="J18" s="60"/>
      <c r="K18" s="29"/>
      <c r="L18" s="30" t="s">
        <v>27</v>
      </c>
      <c r="M18" s="26"/>
      <c r="N18" s="26"/>
      <c r="O18" s="26"/>
      <c r="P18" s="27"/>
      <c r="Q18" s="27"/>
      <c r="R18" s="1"/>
    </row>
    <row r="19" spans="1:18" ht="14.4" x14ac:dyDescent="0.3">
      <c r="A19" s="32"/>
      <c r="B19" s="32"/>
      <c r="C19" s="33"/>
      <c r="D19" s="33"/>
      <c r="E19" s="33"/>
      <c r="F19" s="34"/>
      <c r="G19" s="35"/>
      <c r="H19" s="33"/>
      <c r="I19" s="36">
        <f>SUM(I4:I18)/1000</f>
        <v>171.23599999999999</v>
      </c>
      <c r="J19" s="61"/>
      <c r="K19" s="36"/>
      <c r="L19" s="37">
        <f>SUM(L4:L18)</f>
        <v>50577.049999999996</v>
      </c>
      <c r="M19" s="39">
        <f>SUM(M4:M18)</f>
        <v>101154.09999999999</v>
      </c>
      <c r="N19" s="39">
        <f>SUM(N4:N18)</f>
        <v>131658.75</v>
      </c>
      <c r="O19" s="39"/>
      <c r="P19" s="33"/>
      <c r="Q19" s="33"/>
    </row>
    <row r="21" spans="1:18" x14ac:dyDescent="0.2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</row>
    <row r="22" spans="1:18" x14ac:dyDescent="0.25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</row>
    <row r="25" spans="1:18" ht="28.8" customHeight="1" x14ac:dyDescent="0.25"/>
  </sheetData>
  <pageMargins left="0.70866141732283472" right="0.70866141732283472" top="0.74803149606299213" bottom="0.74803149606299213" header="0.31496062992125984" footer="0.31496062992125984"/>
  <pageSetup paperSize="8" scale="57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B27C4-662A-4FE8-93D8-B97F35EE3AAC}">
  <sheetPr>
    <pageSetUpPr fitToPage="1"/>
  </sheetPr>
  <dimension ref="A2:R154"/>
  <sheetViews>
    <sheetView topLeftCell="A18" zoomScale="90" zoomScaleNormal="90" workbookViewId="0">
      <selection activeCell="J77" sqref="J77"/>
    </sheetView>
  </sheetViews>
  <sheetFormatPr baseColWidth="10" defaultRowHeight="13.8" x14ac:dyDescent="0.25"/>
  <cols>
    <col min="1" max="1" width="14" customWidth="1"/>
    <col min="2" max="2" width="35.69921875" customWidth="1"/>
    <col min="3" max="3" width="20.296875" customWidth="1"/>
    <col min="4" max="4" width="16.69921875" customWidth="1"/>
    <col min="5" max="5" width="26.19921875" customWidth="1"/>
    <col min="6" max="6" width="8.8984375" customWidth="1"/>
    <col min="7" max="7" width="12.69921875" style="93" customWidth="1"/>
    <col min="8" max="8" width="8.59765625" customWidth="1"/>
    <col min="9" max="9" width="21.796875" customWidth="1"/>
    <col min="10" max="10" width="17.796875" style="59" customWidth="1"/>
    <col min="11" max="11" width="20.5" customWidth="1"/>
    <col min="12" max="12" width="17.19921875" style="2" customWidth="1"/>
    <col min="13" max="13" width="22.3984375" customWidth="1"/>
    <col min="14" max="14" width="24.3984375" customWidth="1"/>
    <col min="15" max="15" width="15" customWidth="1"/>
    <col min="16" max="16" width="17.09765625" customWidth="1"/>
    <col min="17" max="17" width="33.69921875" customWidth="1"/>
  </cols>
  <sheetData>
    <row r="2" spans="1:18" ht="17.399999999999999" customHeight="1" x14ac:dyDescent="0.35">
      <c r="A2" s="163" t="s">
        <v>231</v>
      </c>
    </row>
    <row r="3" spans="1:18" ht="28.8" customHeight="1" x14ac:dyDescent="0.3">
      <c r="A3" s="3" t="s">
        <v>0</v>
      </c>
      <c r="B3" s="4" t="s">
        <v>1</v>
      </c>
      <c r="C3" s="4" t="s">
        <v>2</v>
      </c>
      <c r="D3" s="5" t="s">
        <v>19</v>
      </c>
      <c r="E3" s="4" t="s">
        <v>5</v>
      </c>
      <c r="F3" s="4" t="s">
        <v>6</v>
      </c>
      <c r="G3" s="4" t="s">
        <v>3</v>
      </c>
      <c r="H3" s="4" t="s">
        <v>4</v>
      </c>
      <c r="I3" s="5" t="s">
        <v>31</v>
      </c>
      <c r="J3" s="65" t="s">
        <v>116</v>
      </c>
      <c r="K3" s="5" t="s">
        <v>235</v>
      </c>
      <c r="L3" s="6" t="s">
        <v>135</v>
      </c>
      <c r="M3" s="7" t="s">
        <v>29</v>
      </c>
      <c r="N3" s="5" t="s">
        <v>30</v>
      </c>
      <c r="O3" s="4" t="s">
        <v>7</v>
      </c>
      <c r="P3" s="4" t="s">
        <v>35</v>
      </c>
      <c r="Q3" s="8"/>
    </row>
    <row r="4" spans="1:18" ht="14.4" x14ac:dyDescent="0.3">
      <c r="A4" s="9" t="s">
        <v>8</v>
      </c>
      <c r="B4" s="10" t="s">
        <v>33</v>
      </c>
      <c r="C4" s="10" t="s">
        <v>23</v>
      </c>
      <c r="D4" s="51">
        <f>I14</f>
        <v>1314.9</v>
      </c>
      <c r="E4" s="10" t="s">
        <v>20</v>
      </c>
      <c r="F4" s="10" t="s">
        <v>12</v>
      </c>
      <c r="G4" s="94" t="s">
        <v>10</v>
      </c>
      <c r="H4" s="10" t="s">
        <v>9</v>
      </c>
      <c r="I4" s="10">
        <v>102.7</v>
      </c>
      <c r="J4" s="67">
        <f>I4/2*1000</f>
        <v>51350</v>
      </c>
      <c r="K4" s="11">
        <v>0</v>
      </c>
      <c r="L4" s="12">
        <f>J4-K4</f>
        <v>51350</v>
      </c>
      <c r="M4" s="13">
        <f>L4*2</f>
        <v>102700</v>
      </c>
      <c r="N4" s="13">
        <f>L4*3</f>
        <v>154050</v>
      </c>
      <c r="O4" s="14" t="s">
        <v>25</v>
      </c>
      <c r="P4" s="10"/>
      <c r="Q4" s="10"/>
    </row>
    <row r="5" spans="1:18" ht="14.4" x14ac:dyDescent="0.3">
      <c r="A5" s="10"/>
      <c r="B5" s="10" t="s">
        <v>34</v>
      </c>
      <c r="C5" s="10"/>
      <c r="D5" s="11"/>
      <c r="E5" s="10" t="s">
        <v>22</v>
      </c>
      <c r="F5" s="10" t="s">
        <v>15</v>
      </c>
      <c r="G5" s="94" t="s">
        <v>10</v>
      </c>
      <c r="H5" s="10" t="s">
        <v>9</v>
      </c>
      <c r="I5" s="10">
        <v>456.2</v>
      </c>
      <c r="J5" s="67">
        <f t="shared" ref="J5:J11" si="0">I5/2*1000</f>
        <v>228100</v>
      </c>
      <c r="K5" s="11">
        <v>13100</v>
      </c>
      <c r="L5" s="12">
        <f t="shared" ref="L5:L11" si="1">J5-K5</f>
        <v>215000</v>
      </c>
      <c r="M5" s="13">
        <f t="shared" ref="M5:M11" si="2">L5*2</f>
        <v>430000</v>
      </c>
      <c r="N5" s="13">
        <f t="shared" ref="N5:N11" si="3">L5*3</f>
        <v>645000</v>
      </c>
      <c r="O5" s="14" t="s">
        <v>25</v>
      </c>
      <c r="P5" s="10"/>
      <c r="Q5" s="10"/>
    </row>
    <row r="6" spans="1:18" ht="14.4" x14ac:dyDescent="0.3">
      <c r="A6" s="10"/>
      <c r="B6" s="10"/>
      <c r="C6" s="10"/>
      <c r="D6" s="11"/>
      <c r="E6" s="10" t="s">
        <v>22</v>
      </c>
      <c r="F6" s="10" t="s">
        <v>17</v>
      </c>
      <c r="G6" s="94" t="s">
        <v>10</v>
      </c>
      <c r="H6" s="10" t="s">
        <v>9</v>
      </c>
      <c r="I6" s="10">
        <v>67.7</v>
      </c>
      <c r="J6" s="67">
        <f t="shared" si="0"/>
        <v>33850</v>
      </c>
      <c r="K6" s="67">
        <v>4840</v>
      </c>
      <c r="L6" s="12">
        <f t="shared" si="1"/>
        <v>29010</v>
      </c>
      <c r="M6" s="13">
        <f t="shared" si="2"/>
        <v>58020</v>
      </c>
      <c r="N6" s="13">
        <f t="shared" si="3"/>
        <v>87030</v>
      </c>
      <c r="O6" s="14" t="s">
        <v>25</v>
      </c>
      <c r="P6" s="10" t="s">
        <v>24</v>
      </c>
      <c r="Q6" s="10"/>
    </row>
    <row r="7" spans="1:18" ht="14.4" x14ac:dyDescent="0.3">
      <c r="A7" s="10"/>
      <c r="B7" s="10"/>
      <c r="C7" s="10"/>
      <c r="D7" s="11"/>
      <c r="E7" s="10" t="s">
        <v>20</v>
      </c>
      <c r="F7" s="10" t="s">
        <v>14</v>
      </c>
      <c r="G7" s="94" t="s">
        <v>10</v>
      </c>
      <c r="H7" s="10" t="s">
        <v>9</v>
      </c>
      <c r="I7" s="10">
        <v>123.7</v>
      </c>
      <c r="J7" s="67">
        <f t="shared" si="0"/>
        <v>61850</v>
      </c>
      <c r="K7" s="11">
        <v>15020</v>
      </c>
      <c r="L7" s="12">
        <f t="shared" si="1"/>
        <v>46830</v>
      </c>
      <c r="M7" s="13">
        <f t="shared" si="2"/>
        <v>93660</v>
      </c>
      <c r="N7" s="13">
        <f t="shared" si="3"/>
        <v>140490</v>
      </c>
      <c r="O7" s="14" t="s">
        <v>25</v>
      </c>
      <c r="P7" s="10"/>
      <c r="Q7" s="10"/>
    </row>
    <row r="8" spans="1:18" ht="14.4" x14ac:dyDescent="0.3">
      <c r="A8" s="10"/>
      <c r="B8" s="10"/>
      <c r="C8" s="10"/>
      <c r="D8" s="11"/>
      <c r="E8" s="10" t="s">
        <v>22</v>
      </c>
      <c r="F8" s="10" t="s">
        <v>18</v>
      </c>
      <c r="G8" s="94" t="s">
        <v>10</v>
      </c>
      <c r="H8" s="10" t="s">
        <v>9</v>
      </c>
      <c r="I8" s="10">
        <v>4.3</v>
      </c>
      <c r="J8" s="67">
        <f t="shared" si="0"/>
        <v>2150</v>
      </c>
      <c r="K8" s="11">
        <v>0</v>
      </c>
      <c r="L8" s="12">
        <f t="shared" si="1"/>
        <v>2150</v>
      </c>
      <c r="M8" s="13">
        <f t="shared" si="2"/>
        <v>4300</v>
      </c>
      <c r="N8" s="13">
        <f t="shared" si="3"/>
        <v>6450</v>
      </c>
      <c r="O8" s="14" t="s">
        <v>25</v>
      </c>
      <c r="P8" s="10"/>
      <c r="Q8" s="10"/>
    </row>
    <row r="9" spans="1:18" ht="14.4" x14ac:dyDescent="0.3">
      <c r="A9" s="10"/>
      <c r="B9" s="10"/>
      <c r="C9" s="10"/>
      <c r="D9" s="11"/>
      <c r="E9" s="10" t="s">
        <v>20</v>
      </c>
      <c r="F9" s="10" t="s">
        <v>11</v>
      </c>
      <c r="G9" s="94" t="s">
        <v>10</v>
      </c>
      <c r="H9" s="10" t="s">
        <v>9</v>
      </c>
      <c r="I9" s="10">
        <v>359.3</v>
      </c>
      <c r="J9" s="67">
        <f t="shared" si="0"/>
        <v>179650</v>
      </c>
      <c r="K9" s="11">
        <v>0</v>
      </c>
      <c r="L9" s="12">
        <f t="shared" si="1"/>
        <v>179650</v>
      </c>
      <c r="M9" s="13">
        <f t="shared" si="2"/>
        <v>359300</v>
      </c>
      <c r="N9" s="13">
        <f t="shared" si="3"/>
        <v>538950</v>
      </c>
      <c r="O9" s="14" t="s">
        <v>25</v>
      </c>
      <c r="P9" s="10"/>
      <c r="Q9" s="10"/>
    </row>
    <row r="10" spans="1:18" ht="14.4" x14ac:dyDescent="0.3">
      <c r="A10" s="10"/>
      <c r="B10" s="10"/>
      <c r="C10" s="10"/>
      <c r="D10" s="11"/>
      <c r="E10" s="10" t="s">
        <v>20</v>
      </c>
      <c r="F10" s="10" t="s">
        <v>13</v>
      </c>
      <c r="G10" s="94" t="s">
        <v>10</v>
      </c>
      <c r="H10" s="10" t="s">
        <v>9</v>
      </c>
      <c r="I10" s="10">
        <v>58.1</v>
      </c>
      <c r="J10" s="67">
        <f t="shared" si="0"/>
        <v>29050</v>
      </c>
      <c r="K10" s="11">
        <v>0</v>
      </c>
      <c r="L10" s="12">
        <f t="shared" si="1"/>
        <v>29050</v>
      </c>
      <c r="M10" s="13">
        <f t="shared" si="2"/>
        <v>58100</v>
      </c>
      <c r="N10" s="13">
        <f t="shared" si="3"/>
        <v>87150</v>
      </c>
      <c r="O10" s="14" t="s">
        <v>25</v>
      </c>
      <c r="P10" s="10"/>
      <c r="Q10" s="10"/>
    </row>
    <row r="11" spans="1:18" ht="14.4" x14ac:dyDescent="0.3">
      <c r="A11" s="10"/>
      <c r="B11" s="10"/>
      <c r="C11" s="10"/>
      <c r="D11" s="11"/>
      <c r="E11" s="10" t="s">
        <v>22</v>
      </c>
      <c r="F11" s="10" t="s">
        <v>16</v>
      </c>
      <c r="G11" s="94" t="s">
        <v>10</v>
      </c>
      <c r="H11" s="10" t="s">
        <v>9</v>
      </c>
      <c r="I11" s="10">
        <v>142.9</v>
      </c>
      <c r="J11" s="67">
        <f t="shared" si="0"/>
        <v>71450</v>
      </c>
      <c r="K11" s="67">
        <v>8500</v>
      </c>
      <c r="L11" s="12">
        <f t="shared" si="1"/>
        <v>62950</v>
      </c>
      <c r="M11" s="13">
        <f t="shared" si="2"/>
        <v>125900</v>
      </c>
      <c r="N11" s="13">
        <f t="shared" si="3"/>
        <v>188850</v>
      </c>
      <c r="O11" s="14" t="s">
        <v>25</v>
      </c>
      <c r="P11" s="10"/>
      <c r="Q11" s="10"/>
    </row>
    <row r="12" spans="1:18" ht="14.4" x14ac:dyDescent="0.3">
      <c r="A12" s="10"/>
      <c r="B12" s="10"/>
      <c r="C12" s="10"/>
      <c r="D12" s="10"/>
      <c r="E12" s="23" t="s">
        <v>21</v>
      </c>
      <c r="F12" s="10"/>
      <c r="G12" s="94"/>
      <c r="H12" s="10"/>
      <c r="I12" s="10"/>
      <c r="J12" s="53"/>
      <c r="K12" s="10"/>
      <c r="L12" s="25"/>
      <c r="M12" s="10"/>
      <c r="N12" s="10"/>
      <c r="O12" s="10"/>
      <c r="P12" s="10"/>
      <c r="Q12" s="10"/>
    </row>
    <row r="13" spans="1:18" ht="14.4" x14ac:dyDescent="0.3">
      <c r="A13" s="26"/>
      <c r="B13" s="26"/>
      <c r="C13" s="27"/>
      <c r="D13" s="27"/>
      <c r="E13" s="27"/>
      <c r="F13" s="28"/>
      <c r="G13" s="96"/>
      <c r="H13" s="27"/>
      <c r="I13" s="29" t="s">
        <v>32</v>
      </c>
      <c r="J13" s="60"/>
      <c r="K13" s="29"/>
      <c r="L13" s="31" t="s">
        <v>27</v>
      </c>
      <c r="M13" s="26"/>
      <c r="N13" s="26"/>
      <c r="O13" s="26"/>
      <c r="P13" s="27"/>
      <c r="Q13" s="27"/>
      <c r="R13" s="1"/>
    </row>
    <row r="14" spans="1:18" ht="14.4" x14ac:dyDescent="0.3">
      <c r="A14" s="32"/>
      <c r="B14" s="32"/>
      <c r="C14" s="33"/>
      <c r="D14" s="33"/>
      <c r="E14" s="33"/>
      <c r="F14" s="34"/>
      <c r="G14" s="35"/>
      <c r="H14" s="33"/>
      <c r="I14" s="36">
        <f>SUM(I4:I13)</f>
        <v>1314.9</v>
      </c>
      <c r="J14" s="78"/>
      <c r="K14" s="36"/>
      <c r="L14" s="38">
        <f>SUM(L4:L13)</f>
        <v>615990</v>
      </c>
      <c r="M14" s="81">
        <f>SUM(M4:M13)</f>
        <v>1231980</v>
      </c>
      <c r="N14" s="81">
        <f>SUM(N4:N13)</f>
        <v>1847970</v>
      </c>
      <c r="O14" s="39"/>
      <c r="P14" s="33"/>
      <c r="Q14" s="33"/>
    </row>
    <row r="15" spans="1:18" ht="14.4" x14ac:dyDescent="0.3">
      <c r="A15" s="40"/>
      <c r="B15" s="40"/>
      <c r="C15" s="40"/>
      <c r="D15" s="40"/>
      <c r="E15" s="40"/>
      <c r="F15" s="40"/>
      <c r="G15" s="97"/>
      <c r="H15" s="40"/>
      <c r="I15" s="40"/>
      <c r="J15" s="62"/>
      <c r="K15" s="40"/>
      <c r="L15" s="41"/>
      <c r="M15" s="40"/>
      <c r="N15" s="40"/>
      <c r="O15" s="40"/>
      <c r="P15" s="40"/>
      <c r="Q15" s="40"/>
    </row>
    <row r="16" spans="1:18" ht="14.4" x14ac:dyDescent="0.3">
      <c r="A16" s="40"/>
      <c r="B16" s="40"/>
      <c r="C16" s="40"/>
      <c r="D16" s="40"/>
      <c r="E16" s="40"/>
      <c r="F16" s="40"/>
      <c r="G16" s="97"/>
      <c r="H16" s="40"/>
      <c r="I16" s="40"/>
      <c r="J16" s="62"/>
      <c r="K16" s="40"/>
      <c r="L16" s="41"/>
      <c r="M16" s="40"/>
      <c r="N16" s="40"/>
      <c r="O16" s="40"/>
      <c r="P16" s="40"/>
      <c r="Q16" s="40"/>
    </row>
    <row r="17" spans="1:17" ht="14.4" x14ac:dyDescent="0.3">
      <c r="A17" s="42"/>
      <c r="B17" s="42"/>
      <c r="C17" s="43"/>
      <c r="D17" s="43"/>
      <c r="E17" s="43"/>
      <c r="F17" s="44"/>
      <c r="G17" s="45"/>
      <c r="H17" s="43"/>
      <c r="I17" s="46"/>
      <c r="J17" s="63"/>
      <c r="K17" s="46"/>
      <c r="L17" s="47"/>
      <c r="M17" s="48"/>
      <c r="N17" s="48"/>
      <c r="O17" s="48"/>
      <c r="P17" s="43"/>
      <c r="Q17" s="43"/>
    </row>
    <row r="18" spans="1:17" ht="14.4" x14ac:dyDescent="0.3">
      <c r="A18" s="43"/>
      <c r="B18" s="43"/>
      <c r="C18" s="43"/>
      <c r="D18" s="43"/>
      <c r="E18" s="43"/>
      <c r="F18" s="43"/>
      <c r="G18" s="98"/>
      <c r="H18" s="43"/>
      <c r="I18" s="43"/>
      <c r="J18" s="64"/>
      <c r="K18" s="43"/>
      <c r="L18" s="49"/>
      <c r="M18" s="43"/>
      <c r="N18" s="43"/>
      <c r="O18" s="43"/>
      <c r="P18" s="43"/>
      <c r="Q18" s="43"/>
    </row>
    <row r="19" spans="1:17" ht="27.6" x14ac:dyDescent="0.3">
      <c r="A19" s="3" t="s">
        <v>0</v>
      </c>
      <c r="B19" s="4" t="s">
        <v>1</v>
      </c>
      <c r="C19" s="4" t="s">
        <v>2</v>
      </c>
      <c r="D19" s="5" t="s">
        <v>19</v>
      </c>
      <c r="E19" s="4" t="s">
        <v>5</v>
      </c>
      <c r="F19" s="4" t="s">
        <v>6</v>
      </c>
      <c r="G19" s="4" t="s">
        <v>3</v>
      </c>
      <c r="H19" s="4" t="s">
        <v>4</v>
      </c>
      <c r="I19" s="5" t="s">
        <v>31</v>
      </c>
      <c r="J19" s="65" t="s">
        <v>116</v>
      </c>
      <c r="K19" s="5" t="s">
        <v>235</v>
      </c>
      <c r="L19" s="6" t="s">
        <v>28</v>
      </c>
      <c r="M19" s="7" t="s">
        <v>29</v>
      </c>
      <c r="N19" s="7" t="s">
        <v>30</v>
      </c>
      <c r="O19" s="4" t="s">
        <v>7</v>
      </c>
      <c r="P19" s="4" t="s">
        <v>35</v>
      </c>
      <c r="Q19" s="8"/>
    </row>
    <row r="20" spans="1:17" ht="14.4" x14ac:dyDescent="0.3">
      <c r="A20" s="9" t="s">
        <v>39</v>
      </c>
      <c r="B20" s="57" t="s">
        <v>102</v>
      </c>
      <c r="C20" s="10" t="s">
        <v>104</v>
      </c>
      <c r="D20" s="11"/>
      <c r="E20" s="10" t="s">
        <v>107</v>
      </c>
      <c r="F20" s="10" t="s">
        <v>110</v>
      </c>
      <c r="G20" s="94" t="s">
        <v>115</v>
      </c>
      <c r="H20" s="10"/>
      <c r="I20" s="10">
        <v>3.8929999999999998</v>
      </c>
      <c r="J20" s="15">
        <v>6700</v>
      </c>
      <c r="K20" s="10">
        <v>6700</v>
      </c>
      <c r="L20" s="12">
        <f t="shared" ref="L20:L21" si="4">J20-K20</f>
        <v>0</v>
      </c>
      <c r="M20" s="13">
        <f>L20*2</f>
        <v>0</v>
      </c>
      <c r="N20" s="13">
        <f>L20*3</f>
        <v>0</v>
      </c>
      <c r="O20" s="14" t="s">
        <v>25</v>
      </c>
      <c r="P20" s="10" t="s">
        <v>131</v>
      </c>
      <c r="Q20" s="10"/>
    </row>
    <row r="21" spans="1:17" ht="14.4" x14ac:dyDescent="0.3">
      <c r="A21" s="10"/>
      <c r="B21" s="58"/>
      <c r="C21" s="58"/>
      <c r="D21" s="11"/>
      <c r="E21" s="10" t="s">
        <v>108</v>
      </c>
      <c r="F21" s="10" t="s">
        <v>111</v>
      </c>
      <c r="G21" s="94" t="s">
        <v>113</v>
      </c>
      <c r="H21" s="10"/>
      <c r="I21" s="10">
        <v>1.847</v>
      </c>
      <c r="J21" s="15">
        <f>(I21*1000)*0.6</f>
        <v>1108.2</v>
      </c>
      <c r="K21" s="10">
        <v>950</v>
      </c>
      <c r="L21" s="12">
        <f t="shared" si="4"/>
        <v>158.20000000000005</v>
      </c>
      <c r="M21" s="13">
        <f t="shared" ref="M21:M23" si="5">L21*2</f>
        <v>316.40000000000009</v>
      </c>
      <c r="N21" s="13">
        <v>0</v>
      </c>
      <c r="O21" s="14"/>
      <c r="P21" s="10" t="s">
        <v>131</v>
      </c>
      <c r="Q21" s="10"/>
    </row>
    <row r="22" spans="1:17" ht="14.4" x14ac:dyDescent="0.3">
      <c r="A22" s="10"/>
      <c r="B22" s="58"/>
      <c r="C22" s="58"/>
      <c r="D22" s="11"/>
      <c r="E22" s="10" t="s">
        <v>109</v>
      </c>
      <c r="F22" s="10" t="s">
        <v>112</v>
      </c>
      <c r="G22" s="94" t="s">
        <v>114</v>
      </c>
      <c r="H22" s="10"/>
      <c r="I22" s="10">
        <v>6.0940000000000003</v>
      </c>
      <c r="J22" s="15">
        <f>(I22*1000)*0.15</f>
        <v>914.1</v>
      </c>
      <c r="K22" s="15">
        <v>800</v>
      </c>
      <c r="L22" s="12">
        <f>J22-K22</f>
        <v>114.10000000000002</v>
      </c>
      <c r="M22" s="13">
        <f t="shared" si="5"/>
        <v>228.20000000000005</v>
      </c>
      <c r="N22" s="13">
        <v>0</v>
      </c>
      <c r="O22" s="14"/>
      <c r="P22" s="10" t="s">
        <v>131</v>
      </c>
      <c r="Q22" s="10"/>
    </row>
    <row r="23" spans="1:17" ht="14.4" x14ac:dyDescent="0.3">
      <c r="L23" s="92"/>
      <c r="M23" s="13">
        <f t="shared" si="5"/>
        <v>0</v>
      </c>
    </row>
    <row r="24" spans="1:17" ht="14.4" x14ac:dyDescent="0.3">
      <c r="A24" s="10"/>
      <c r="B24" s="10" t="s">
        <v>101</v>
      </c>
      <c r="C24" s="10" t="s">
        <v>103</v>
      </c>
      <c r="D24" s="11"/>
      <c r="E24" s="10" t="s">
        <v>183</v>
      </c>
      <c r="F24" s="10" t="s">
        <v>182</v>
      </c>
      <c r="G24" s="91">
        <v>0.45</v>
      </c>
      <c r="H24" s="10">
        <v>15</v>
      </c>
      <c r="I24" s="10">
        <v>17</v>
      </c>
      <c r="J24" s="15">
        <f>(I24*1000)*0.45</f>
        <v>7650</v>
      </c>
      <c r="K24" s="10">
        <v>0</v>
      </c>
      <c r="L24" s="12">
        <f>J24-K24</f>
        <v>7650</v>
      </c>
      <c r="M24" s="13">
        <f>L24*2</f>
        <v>15300</v>
      </c>
      <c r="N24" s="13">
        <f>L24*3</f>
        <v>22950</v>
      </c>
      <c r="O24" s="14" t="s">
        <v>106</v>
      </c>
      <c r="P24" s="10"/>
      <c r="Q24" s="10"/>
    </row>
    <row r="25" spans="1:17" ht="14.4" x14ac:dyDescent="0.3">
      <c r="A25" s="10"/>
      <c r="B25" s="10"/>
      <c r="C25" s="10"/>
      <c r="D25" s="11"/>
      <c r="E25" s="10"/>
      <c r="F25" s="10" t="s">
        <v>184</v>
      </c>
      <c r="G25" s="91">
        <v>0.45</v>
      </c>
      <c r="H25" s="10">
        <v>15</v>
      </c>
      <c r="I25" s="10">
        <v>40.200000000000003</v>
      </c>
      <c r="J25" s="15">
        <f>(I25*1000)*0.45</f>
        <v>18090</v>
      </c>
      <c r="K25" s="10">
        <v>5500</v>
      </c>
      <c r="L25" s="12">
        <f>J25-K25</f>
        <v>12590</v>
      </c>
      <c r="M25" s="13">
        <f>L25*2</f>
        <v>25180</v>
      </c>
      <c r="N25" s="13">
        <f>L25*3</f>
        <v>37770</v>
      </c>
      <c r="O25" s="14" t="s">
        <v>106</v>
      </c>
      <c r="P25" s="10"/>
      <c r="Q25" s="10"/>
    </row>
    <row r="26" spans="1:17" ht="14.4" x14ac:dyDescent="0.3">
      <c r="A26" s="10"/>
      <c r="B26" s="10"/>
      <c r="C26" s="10"/>
      <c r="D26" s="10"/>
      <c r="E26" s="23"/>
      <c r="F26" s="10"/>
      <c r="G26" s="94"/>
      <c r="H26" s="10"/>
      <c r="I26" s="10"/>
      <c r="J26" s="15"/>
      <c r="K26" s="10"/>
      <c r="L26" s="25"/>
      <c r="M26" s="10"/>
      <c r="N26" s="10"/>
      <c r="O26" s="10"/>
      <c r="P26" s="10"/>
      <c r="Q26" s="10"/>
    </row>
    <row r="27" spans="1:17" ht="14.4" x14ac:dyDescent="0.3">
      <c r="A27" s="26"/>
      <c r="B27" s="26"/>
      <c r="C27" s="27"/>
      <c r="D27" s="27"/>
      <c r="E27" s="27"/>
      <c r="F27" s="28"/>
      <c r="G27" s="96"/>
      <c r="H27" s="27"/>
      <c r="I27" s="29" t="s">
        <v>32</v>
      </c>
      <c r="J27" s="77"/>
      <c r="K27" s="29"/>
      <c r="L27" s="31" t="s">
        <v>27</v>
      </c>
      <c r="M27" s="26"/>
      <c r="N27" s="26"/>
      <c r="O27" s="26"/>
      <c r="P27" s="27"/>
      <c r="Q27" s="27"/>
    </row>
    <row r="28" spans="1:17" ht="14.4" x14ac:dyDescent="0.3">
      <c r="A28" s="32"/>
      <c r="B28" s="32"/>
      <c r="C28" s="33"/>
      <c r="D28" s="33"/>
      <c r="E28" s="33"/>
      <c r="F28" s="34"/>
      <c r="G28" s="35"/>
      <c r="H28" s="33"/>
      <c r="I28" s="36">
        <f>SUM(I20:I27)</f>
        <v>69.034000000000006</v>
      </c>
      <c r="J28" s="78"/>
      <c r="K28" s="36"/>
      <c r="L28" s="38">
        <f>SUM(L20:L27)</f>
        <v>20512.3</v>
      </c>
      <c r="M28" s="39">
        <f>SUM(M20:M27)</f>
        <v>41024.6</v>
      </c>
      <c r="N28" s="39">
        <f>SUM(N20:N27)</f>
        <v>60720</v>
      </c>
      <c r="O28" s="39"/>
      <c r="P28" s="33"/>
      <c r="Q28" s="33"/>
    </row>
    <row r="30" spans="1:17" ht="27.6" x14ac:dyDescent="0.3">
      <c r="A30" s="3" t="s">
        <v>0</v>
      </c>
      <c r="B30" s="4" t="s">
        <v>1</v>
      </c>
      <c r="C30" s="4" t="s">
        <v>2</v>
      </c>
      <c r="D30" s="5" t="s">
        <v>19</v>
      </c>
      <c r="E30" s="4" t="s">
        <v>5</v>
      </c>
      <c r="F30" s="4" t="s">
        <v>6</v>
      </c>
      <c r="G30" s="4" t="s">
        <v>3</v>
      </c>
      <c r="H30" s="4" t="s">
        <v>4</v>
      </c>
      <c r="I30" s="5" t="s">
        <v>31</v>
      </c>
      <c r="J30" s="65" t="s">
        <v>116</v>
      </c>
      <c r="K30" s="5" t="s">
        <v>235</v>
      </c>
      <c r="L30" s="6" t="s">
        <v>28</v>
      </c>
      <c r="M30" s="7" t="s">
        <v>29</v>
      </c>
      <c r="N30" s="7" t="s">
        <v>30</v>
      </c>
      <c r="O30" s="4" t="s">
        <v>7</v>
      </c>
      <c r="P30" s="4" t="s">
        <v>35</v>
      </c>
      <c r="Q30" s="8"/>
    </row>
    <row r="31" spans="1:17" ht="14.4" x14ac:dyDescent="0.3">
      <c r="A31" s="9" t="s">
        <v>40</v>
      </c>
      <c r="B31" s="10" t="s">
        <v>41</v>
      </c>
      <c r="C31" s="10"/>
      <c r="D31" s="51">
        <f>I31+I32</f>
        <v>56.84</v>
      </c>
      <c r="E31" s="10" t="s">
        <v>36</v>
      </c>
      <c r="F31" s="10" t="s">
        <v>43</v>
      </c>
      <c r="G31" s="94" t="s">
        <v>37</v>
      </c>
      <c r="H31" s="10" t="s">
        <v>38</v>
      </c>
      <c r="I31" s="50">
        <v>3</v>
      </c>
      <c r="J31" s="79">
        <f>(I31*1000)*0.3</f>
        <v>900</v>
      </c>
      <c r="K31" s="10">
        <v>0</v>
      </c>
      <c r="L31" s="12">
        <f>J31-K31</f>
        <v>900</v>
      </c>
      <c r="M31" s="13">
        <f>L31*2</f>
        <v>1800</v>
      </c>
      <c r="N31" s="13">
        <f>L31*3</f>
        <v>2700</v>
      </c>
      <c r="O31" s="14" t="s">
        <v>73</v>
      </c>
      <c r="P31" s="10" t="s">
        <v>234</v>
      </c>
      <c r="Q31" s="10"/>
    </row>
    <row r="32" spans="1:17" ht="14.4" x14ac:dyDescent="0.3">
      <c r="A32" s="10"/>
      <c r="B32" s="10"/>
      <c r="C32" s="10"/>
      <c r="D32" s="11"/>
      <c r="E32" s="10" t="s">
        <v>72</v>
      </c>
      <c r="F32" s="10" t="s">
        <v>44</v>
      </c>
      <c r="G32" s="94" t="s">
        <v>37</v>
      </c>
      <c r="H32" s="10" t="s">
        <v>38</v>
      </c>
      <c r="I32" s="50">
        <v>53.84</v>
      </c>
      <c r="J32" s="79">
        <f t="shared" ref="J32:J39" si="6">(I32*1000)*0.3</f>
        <v>16152</v>
      </c>
      <c r="K32" s="10">
        <v>0</v>
      </c>
      <c r="L32" s="12">
        <f t="shared" ref="L32:L39" si="7">J32-K32</f>
        <v>16152</v>
      </c>
      <c r="M32" s="13">
        <f>L32*2</f>
        <v>32304</v>
      </c>
      <c r="N32" s="13">
        <f>L32*3</f>
        <v>48456</v>
      </c>
      <c r="O32" s="14" t="s">
        <v>73</v>
      </c>
      <c r="P32" s="10" t="s">
        <v>234</v>
      </c>
      <c r="Q32" s="10"/>
    </row>
    <row r="33" spans="1:17" ht="14.4" x14ac:dyDescent="0.3">
      <c r="A33" s="10"/>
      <c r="B33" s="10"/>
      <c r="C33" s="10"/>
      <c r="D33" s="11"/>
      <c r="E33" s="10"/>
      <c r="G33" s="94"/>
      <c r="H33" s="10"/>
      <c r="I33" s="50"/>
      <c r="J33" s="79"/>
      <c r="K33" s="15"/>
      <c r="L33" s="12"/>
      <c r="M33" s="13"/>
      <c r="N33" s="13"/>
      <c r="O33" s="14"/>
      <c r="P33" s="10"/>
      <c r="Q33" s="10"/>
    </row>
    <row r="34" spans="1:17" ht="14.4" x14ac:dyDescent="0.3">
      <c r="A34" s="10"/>
      <c r="B34" s="10"/>
      <c r="C34" s="10"/>
      <c r="D34" s="11"/>
      <c r="E34" s="10"/>
      <c r="F34" s="10"/>
      <c r="G34" s="94"/>
      <c r="H34" s="10"/>
      <c r="I34" s="50"/>
      <c r="J34" s="79"/>
      <c r="K34" s="10"/>
      <c r="L34" s="12"/>
      <c r="M34" s="13"/>
      <c r="N34" s="13"/>
      <c r="O34" s="14"/>
      <c r="P34" s="10"/>
      <c r="Q34" s="10"/>
    </row>
    <row r="35" spans="1:17" ht="14.4" x14ac:dyDescent="0.3">
      <c r="A35" s="10"/>
      <c r="B35" s="10" t="s">
        <v>42</v>
      </c>
      <c r="C35" s="10"/>
      <c r="D35" s="51">
        <f>I35+I36+I37+I38+I39</f>
        <v>77.13</v>
      </c>
      <c r="E35" s="10" t="s">
        <v>75</v>
      </c>
      <c r="F35" s="10" t="s">
        <v>77</v>
      </c>
      <c r="G35" s="94" t="s">
        <v>76</v>
      </c>
      <c r="H35" s="10" t="s">
        <v>38</v>
      </c>
      <c r="I35" s="50">
        <v>11.82</v>
      </c>
      <c r="J35" s="79">
        <f t="shared" si="6"/>
        <v>3546</v>
      </c>
      <c r="K35" s="10">
        <v>0</v>
      </c>
      <c r="L35" s="12">
        <f t="shared" si="7"/>
        <v>3546</v>
      </c>
      <c r="M35" s="13">
        <f>L35*2</f>
        <v>7092</v>
      </c>
      <c r="N35" s="13">
        <f>L35*3</f>
        <v>10638</v>
      </c>
      <c r="O35" s="14"/>
      <c r="P35" s="10"/>
      <c r="Q35" s="10"/>
    </row>
    <row r="36" spans="1:17" ht="14.4" x14ac:dyDescent="0.3">
      <c r="A36" s="10"/>
      <c r="B36" s="10"/>
      <c r="C36" s="10"/>
      <c r="D36" s="11"/>
      <c r="E36" s="10" t="s">
        <v>74</v>
      </c>
      <c r="F36" s="10" t="s">
        <v>78</v>
      </c>
      <c r="G36" s="94" t="s">
        <v>76</v>
      </c>
      <c r="H36" s="10" t="s">
        <v>38</v>
      </c>
      <c r="I36" s="50">
        <v>12.45</v>
      </c>
      <c r="J36" s="79">
        <f t="shared" si="6"/>
        <v>3735</v>
      </c>
      <c r="K36" s="10">
        <v>0</v>
      </c>
      <c r="L36" s="12">
        <f t="shared" si="7"/>
        <v>3735</v>
      </c>
      <c r="M36" s="13">
        <f>L36*2</f>
        <v>7470</v>
      </c>
      <c r="N36" s="13">
        <f>L36*3</f>
        <v>11205</v>
      </c>
      <c r="O36" s="14"/>
      <c r="P36" s="10"/>
      <c r="Q36" s="10"/>
    </row>
    <row r="37" spans="1:17" ht="14.4" x14ac:dyDescent="0.3">
      <c r="A37" s="10"/>
      <c r="B37" s="10"/>
      <c r="C37" s="10"/>
      <c r="D37" s="11"/>
      <c r="E37" s="10"/>
      <c r="F37" s="10" t="s">
        <v>79</v>
      </c>
      <c r="G37" s="94" t="s">
        <v>76</v>
      </c>
      <c r="H37" s="10" t="s">
        <v>38</v>
      </c>
      <c r="I37" s="50">
        <v>27.38</v>
      </c>
      <c r="J37" s="79">
        <f t="shared" si="6"/>
        <v>8214</v>
      </c>
      <c r="K37" s="10">
        <v>0</v>
      </c>
      <c r="L37" s="12">
        <f t="shared" si="7"/>
        <v>8214</v>
      </c>
      <c r="M37" s="13">
        <f>L37*2</f>
        <v>16428</v>
      </c>
      <c r="N37" s="13">
        <f>L37*3</f>
        <v>24642</v>
      </c>
      <c r="O37" s="14"/>
      <c r="P37" s="10"/>
      <c r="Q37" s="10"/>
    </row>
    <row r="38" spans="1:17" ht="14.4" x14ac:dyDescent="0.3">
      <c r="A38" s="10"/>
      <c r="B38" s="10"/>
      <c r="C38" s="10"/>
      <c r="D38" s="11"/>
      <c r="E38" s="10"/>
      <c r="F38" s="10" t="s">
        <v>80</v>
      </c>
      <c r="G38" s="94" t="s">
        <v>76</v>
      </c>
      <c r="H38" s="10" t="s">
        <v>38</v>
      </c>
      <c r="I38" s="50">
        <v>11.48</v>
      </c>
      <c r="J38" s="79">
        <f t="shared" si="6"/>
        <v>3444</v>
      </c>
      <c r="K38" s="10">
        <v>0</v>
      </c>
      <c r="L38" s="12">
        <f t="shared" si="7"/>
        <v>3444</v>
      </c>
      <c r="M38" s="13">
        <f>L38*2</f>
        <v>6888</v>
      </c>
      <c r="N38" s="13">
        <f>L38*3</f>
        <v>10332</v>
      </c>
      <c r="O38" s="14"/>
      <c r="P38" s="10"/>
      <c r="Q38" s="10"/>
    </row>
    <row r="39" spans="1:17" ht="14.4" x14ac:dyDescent="0.3">
      <c r="A39" s="10"/>
      <c r="B39" s="10"/>
      <c r="C39" s="10"/>
      <c r="D39" s="11"/>
      <c r="E39" s="10"/>
      <c r="F39" s="10" t="s">
        <v>81</v>
      </c>
      <c r="G39" s="94" t="s">
        <v>76</v>
      </c>
      <c r="H39" s="10" t="s">
        <v>38</v>
      </c>
      <c r="I39" s="50">
        <v>14</v>
      </c>
      <c r="J39" s="79">
        <f t="shared" si="6"/>
        <v>4200</v>
      </c>
      <c r="K39" s="10">
        <v>0</v>
      </c>
      <c r="L39" s="12">
        <f t="shared" si="7"/>
        <v>4200</v>
      </c>
      <c r="M39" s="13">
        <f>L39*2</f>
        <v>8400</v>
      </c>
      <c r="N39" s="13">
        <f>L39*3</f>
        <v>12600</v>
      </c>
      <c r="O39" s="14"/>
      <c r="P39" s="10"/>
      <c r="Q39" s="10"/>
    </row>
    <row r="40" spans="1:17" ht="14.4" x14ac:dyDescent="0.3">
      <c r="A40" s="16"/>
      <c r="B40" s="16"/>
      <c r="C40" s="16"/>
      <c r="D40" s="17"/>
      <c r="E40" s="18"/>
      <c r="F40" s="19"/>
      <c r="G40" s="95"/>
      <c r="H40" s="20"/>
      <c r="I40" s="10"/>
      <c r="J40" s="15"/>
      <c r="K40" s="10"/>
      <c r="L40" s="21"/>
      <c r="M40" s="10"/>
      <c r="N40" s="22"/>
      <c r="O40" s="10"/>
      <c r="P40" s="10"/>
      <c r="Q40" s="10"/>
    </row>
    <row r="41" spans="1:17" ht="14.4" x14ac:dyDescent="0.3">
      <c r="A41" s="26"/>
      <c r="B41" s="26"/>
      <c r="C41" s="27"/>
      <c r="D41" s="27"/>
      <c r="E41" s="27"/>
      <c r="F41" s="28"/>
      <c r="G41" s="96"/>
      <c r="H41" s="27"/>
      <c r="I41" s="29" t="s">
        <v>32</v>
      </c>
      <c r="J41" s="60"/>
      <c r="K41" s="29"/>
      <c r="L41" s="31" t="s">
        <v>27</v>
      </c>
      <c r="M41" s="26"/>
      <c r="N41" s="26"/>
      <c r="O41" s="26"/>
      <c r="P41" s="27"/>
      <c r="Q41" s="27"/>
    </row>
    <row r="42" spans="1:17" ht="14.4" x14ac:dyDescent="0.3">
      <c r="A42" s="32"/>
      <c r="B42" s="32"/>
      <c r="C42" s="33"/>
      <c r="D42" s="33"/>
      <c r="E42" s="33"/>
      <c r="F42" s="34"/>
      <c r="G42" s="35"/>
      <c r="H42" s="33"/>
      <c r="I42" s="36">
        <f>SUM(I31:I41)</f>
        <v>133.97</v>
      </c>
      <c r="J42" s="36"/>
      <c r="K42" s="36"/>
      <c r="L42" s="38">
        <f>SUM(L31:L41)</f>
        <v>40191</v>
      </c>
      <c r="M42" s="39">
        <f>SUM(M31:M41)</f>
        <v>80382</v>
      </c>
      <c r="N42" s="39">
        <f>SUM(N31:N41)</f>
        <v>120573</v>
      </c>
      <c r="O42" s="39"/>
      <c r="P42" s="33"/>
      <c r="Q42" s="33"/>
    </row>
    <row r="44" spans="1:17" ht="27.6" x14ac:dyDescent="0.3">
      <c r="A44" s="3" t="s">
        <v>0</v>
      </c>
      <c r="B44" s="4" t="s">
        <v>1</v>
      </c>
      <c r="C44" s="4" t="s">
        <v>2</v>
      </c>
      <c r="D44" s="5" t="s">
        <v>19</v>
      </c>
      <c r="E44" s="4" t="s">
        <v>5</v>
      </c>
      <c r="F44" s="4" t="s">
        <v>6</v>
      </c>
      <c r="G44" s="4" t="s">
        <v>3</v>
      </c>
      <c r="H44" s="4" t="s">
        <v>4</v>
      </c>
      <c r="I44" s="5" t="s">
        <v>31</v>
      </c>
      <c r="J44" s="65" t="s">
        <v>116</v>
      </c>
      <c r="K44" s="5" t="s">
        <v>235</v>
      </c>
      <c r="L44" s="6" t="s">
        <v>28</v>
      </c>
      <c r="M44" s="7" t="s">
        <v>29</v>
      </c>
      <c r="N44" s="7" t="s">
        <v>30</v>
      </c>
      <c r="O44" s="4" t="s">
        <v>7</v>
      </c>
      <c r="P44" s="4" t="s">
        <v>35</v>
      </c>
      <c r="Q44" s="8" t="s">
        <v>60</v>
      </c>
    </row>
    <row r="45" spans="1:17" ht="14.4" x14ac:dyDescent="0.3">
      <c r="A45" s="9" t="s">
        <v>45</v>
      </c>
      <c r="B45" s="10" t="s">
        <v>47</v>
      </c>
      <c r="C45" s="10"/>
      <c r="D45" s="51">
        <f>I45+I46+I47+I48+I49+I50</f>
        <v>166.64999999999998</v>
      </c>
      <c r="E45" s="10" t="s">
        <v>63</v>
      </c>
      <c r="F45" s="10" t="s">
        <v>53</v>
      </c>
      <c r="G45" s="94" t="s">
        <v>59</v>
      </c>
      <c r="H45" s="10" t="s">
        <v>38</v>
      </c>
      <c r="I45" s="10">
        <v>16.25</v>
      </c>
      <c r="J45" s="15">
        <f>(I45*1000)*0.25</f>
        <v>4062.5</v>
      </c>
      <c r="K45" s="10">
        <v>0</v>
      </c>
      <c r="L45" s="12">
        <f>J45-K45</f>
        <v>4062.5</v>
      </c>
      <c r="M45" s="13">
        <f t="shared" ref="M45:M52" si="8">L45*2</f>
        <v>8125</v>
      </c>
      <c r="N45" s="13">
        <f t="shared" ref="N45:N52" si="9">L45*3</f>
        <v>12187.5</v>
      </c>
      <c r="O45" s="14" t="s">
        <v>25</v>
      </c>
      <c r="P45" s="10" t="s">
        <v>67</v>
      </c>
      <c r="Q45" s="10" t="s">
        <v>61</v>
      </c>
    </row>
    <row r="46" spans="1:17" ht="14.4" x14ac:dyDescent="0.3">
      <c r="A46" s="9" t="s">
        <v>46</v>
      </c>
      <c r="B46" s="10"/>
      <c r="C46" s="10"/>
      <c r="D46" s="11"/>
      <c r="E46" s="10" t="s">
        <v>63</v>
      </c>
      <c r="F46" s="10" t="s">
        <v>54</v>
      </c>
      <c r="G46" s="94" t="s">
        <v>59</v>
      </c>
      <c r="H46" s="10" t="s">
        <v>38</v>
      </c>
      <c r="I46" s="10">
        <v>27.5</v>
      </c>
      <c r="J46" s="15">
        <f t="shared" ref="J46:J52" si="10">(I46*1000)*0.25</f>
        <v>6875</v>
      </c>
      <c r="K46" s="10">
        <v>0</v>
      </c>
      <c r="L46" s="12">
        <f t="shared" ref="L46:L52" si="11">J46-K46</f>
        <v>6875</v>
      </c>
      <c r="M46" s="13">
        <f t="shared" si="8"/>
        <v>13750</v>
      </c>
      <c r="N46" s="13">
        <f t="shared" si="9"/>
        <v>20625</v>
      </c>
      <c r="O46" s="14" t="s">
        <v>25</v>
      </c>
      <c r="P46" s="10"/>
      <c r="Q46" s="10" t="s">
        <v>62</v>
      </c>
    </row>
    <row r="47" spans="1:17" ht="14.4" x14ac:dyDescent="0.3">
      <c r="A47" s="10"/>
      <c r="B47" s="10"/>
      <c r="C47" s="10"/>
      <c r="D47" s="11"/>
      <c r="E47" s="10" t="s">
        <v>63</v>
      </c>
      <c r="F47" s="10" t="s">
        <v>55</v>
      </c>
      <c r="G47" s="94" t="s">
        <v>59</v>
      </c>
      <c r="H47" s="10" t="s">
        <v>38</v>
      </c>
      <c r="I47" s="10">
        <v>25.1</v>
      </c>
      <c r="J47" s="15">
        <f t="shared" si="10"/>
        <v>6275</v>
      </c>
      <c r="K47" s="15">
        <v>0</v>
      </c>
      <c r="L47" s="12">
        <f t="shared" si="11"/>
        <v>6275</v>
      </c>
      <c r="M47" s="13">
        <f t="shared" si="8"/>
        <v>12550</v>
      </c>
      <c r="N47" s="13">
        <f t="shared" si="9"/>
        <v>18825</v>
      </c>
      <c r="O47" s="14" t="s">
        <v>25</v>
      </c>
      <c r="P47" s="10"/>
      <c r="Q47" s="10" t="s">
        <v>65</v>
      </c>
    </row>
    <row r="48" spans="1:17" ht="14.4" x14ac:dyDescent="0.3">
      <c r="A48" s="10"/>
      <c r="B48" s="10"/>
      <c r="C48" s="10"/>
      <c r="D48" s="11"/>
      <c r="E48" s="10" t="s">
        <v>63</v>
      </c>
      <c r="F48" s="10" t="s">
        <v>56</v>
      </c>
      <c r="G48" s="94" t="s">
        <v>59</v>
      </c>
      <c r="H48" s="10" t="s">
        <v>38</v>
      </c>
      <c r="I48" s="10">
        <v>22.3</v>
      </c>
      <c r="J48" s="15">
        <f t="shared" si="10"/>
        <v>5575</v>
      </c>
      <c r="K48" s="10">
        <v>0</v>
      </c>
      <c r="L48" s="12">
        <f t="shared" si="11"/>
        <v>5575</v>
      </c>
      <c r="M48" s="13">
        <f t="shared" si="8"/>
        <v>11150</v>
      </c>
      <c r="N48" s="13">
        <f t="shared" si="9"/>
        <v>16725</v>
      </c>
      <c r="O48" s="14" t="s">
        <v>25</v>
      </c>
      <c r="P48" s="10"/>
      <c r="Q48" s="10"/>
    </row>
    <row r="49" spans="1:17" ht="14.4" x14ac:dyDescent="0.3">
      <c r="A49" s="10"/>
      <c r="B49" s="10"/>
      <c r="C49" s="10"/>
      <c r="D49" s="11"/>
      <c r="E49" s="10" t="s">
        <v>63</v>
      </c>
      <c r="F49" s="10" t="s">
        <v>57</v>
      </c>
      <c r="G49" s="94" t="s">
        <v>59</v>
      </c>
      <c r="H49" s="10" t="s">
        <v>38</v>
      </c>
      <c r="I49" s="10">
        <v>26.2</v>
      </c>
      <c r="J49" s="15">
        <f t="shared" si="10"/>
        <v>6550</v>
      </c>
      <c r="K49" s="10">
        <v>1245</v>
      </c>
      <c r="L49" s="12">
        <f t="shared" si="11"/>
        <v>5305</v>
      </c>
      <c r="M49" s="13">
        <f t="shared" si="8"/>
        <v>10610</v>
      </c>
      <c r="N49" s="13">
        <f t="shared" si="9"/>
        <v>15915</v>
      </c>
      <c r="O49" s="14" t="s">
        <v>25</v>
      </c>
      <c r="P49" s="10" t="s">
        <v>66</v>
      </c>
      <c r="Q49" s="10" t="s">
        <v>68</v>
      </c>
    </row>
    <row r="50" spans="1:17" ht="14.4" x14ac:dyDescent="0.3">
      <c r="A50" s="10"/>
      <c r="C50" s="10"/>
      <c r="D50" s="11"/>
      <c r="E50" s="10" t="s">
        <v>63</v>
      </c>
      <c r="F50" s="10" t="s">
        <v>58</v>
      </c>
      <c r="G50" s="94" t="s">
        <v>59</v>
      </c>
      <c r="H50" s="10" t="s">
        <v>64</v>
      </c>
      <c r="I50" s="10">
        <v>49.3</v>
      </c>
      <c r="J50" s="15">
        <f t="shared" si="10"/>
        <v>12325</v>
      </c>
      <c r="K50" s="10">
        <v>0</v>
      </c>
      <c r="L50" s="12">
        <f t="shared" si="11"/>
        <v>12325</v>
      </c>
      <c r="M50" s="13">
        <f t="shared" si="8"/>
        <v>24650</v>
      </c>
      <c r="N50" s="13">
        <f t="shared" si="9"/>
        <v>36975</v>
      </c>
      <c r="O50" s="14" t="s">
        <v>25</v>
      </c>
      <c r="P50" s="10" t="s">
        <v>66</v>
      </c>
      <c r="Q50" s="10"/>
    </row>
    <row r="51" spans="1:17" ht="14.4" x14ac:dyDescent="0.3">
      <c r="A51" s="10"/>
      <c r="B51" s="10"/>
      <c r="C51" s="10"/>
      <c r="D51" s="11"/>
      <c r="E51" s="10"/>
      <c r="F51" s="10"/>
      <c r="G51" s="94"/>
      <c r="H51" s="10"/>
      <c r="I51" s="10"/>
      <c r="J51" s="15"/>
      <c r="K51" s="10"/>
      <c r="L51" s="12"/>
      <c r="M51" s="13">
        <f t="shared" si="8"/>
        <v>0</v>
      </c>
      <c r="N51" s="13">
        <f t="shared" si="9"/>
        <v>0</v>
      </c>
      <c r="O51" s="14"/>
      <c r="P51" s="10"/>
      <c r="Q51" s="10"/>
    </row>
    <row r="52" spans="1:17" ht="14.4" x14ac:dyDescent="0.3">
      <c r="A52" s="10"/>
      <c r="B52" s="10" t="s">
        <v>48</v>
      </c>
      <c r="C52" s="10"/>
      <c r="D52" s="51">
        <f>I52</f>
        <v>415</v>
      </c>
      <c r="E52" s="10" t="s">
        <v>52</v>
      </c>
      <c r="F52" s="10" t="s">
        <v>70</v>
      </c>
      <c r="G52" s="94" t="s">
        <v>37</v>
      </c>
      <c r="H52" s="10" t="s">
        <v>38</v>
      </c>
      <c r="I52" s="10">
        <v>415</v>
      </c>
      <c r="J52" s="15">
        <f t="shared" si="10"/>
        <v>103750</v>
      </c>
      <c r="K52" s="10"/>
      <c r="L52" s="12">
        <f t="shared" si="11"/>
        <v>103750</v>
      </c>
      <c r="M52" s="13">
        <f t="shared" si="8"/>
        <v>207500</v>
      </c>
      <c r="N52" s="13">
        <f t="shared" si="9"/>
        <v>311250</v>
      </c>
      <c r="O52" s="14"/>
      <c r="P52" s="10"/>
      <c r="Q52" s="10" t="s">
        <v>71</v>
      </c>
    </row>
    <row r="53" spans="1:17" ht="14.4" x14ac:dyDescent="0.3">
      <c r="A53" s="10"/>
      <c r="B53" s="10"/>
      <c r="C53" s="10"/>
      <c r="D53" s="10"/>
      <c r="E53" s="23"/>
      <c r="F53" s="10"/>
      <c r="G53" s="94"/>
      <c r="H53" s="10"/>
      <c r="I53" s="10"/>
      <c r="J53" s="15"/>
      <c r="K53" s="10"/>
      <c r="L53" s="25"/>
      <c r="M53" s="10"/>
      <c r="N53" s="10"/>
      <c r="O53" s="10"/>
      <c r="P53" s="10"/>
      <c r="Q53" s="10"/>
    </row>
    <row r="54" spans="1:17" ht="14.4" x14ac:dyDescent="0.3">
      <c r="A54" s="26"/>
      <c r="B54" s="26"/>
      <c r="C54" s="27"/>
      <c r="D54" s="27"/>
      <c r="E54" s="27"/>
      <c r="F54" s="28"/>
      <c r="G54" s="96"/>
      <c r="H54" s="27"/>
      <c r="I54" s="29" t="s">
        <v>32</v>
      </c>
      <c r="J54" s="77"/>
      <c r="K54" s="29"/>
      <c r="L54" s="31" t="s">
        <v>27</v>
      </c>
      <c r="M54" s="26"/>
      <c r="N54" s="26"/>
      <c r="O54" s="26"/>
      <c r="P54" s="27"/>
      <c r="Q54" s="27"/>
    </row>
    <row r="55" spans="1:17" ht="14.4" x14ac:dyDescent="0.3">
      <c r="A55" s="32"/>
      <c r="B55" s="32"/>
      <c r="C55" s="33"/>
      <c r="D55" s="33"/>
      <c r="E55" s="33"/>
      <c r="F55" s="34"/>
      <c r="G55" s="35"/>
      <c r="H55" s="33"/>
      <c r="I55" s="36">
        <f>SUM(I45:I54)</f>
        <v>581.65</v>
      </c>
      <c r="J55" s="36"/>
      <c r="K55" s="36"/>
      <c r="L55" s="38">
        <f>SUM(L45:L54)</f>
        <v>144167.5</v>
      </c>
      <c r="M55" s="39">
        <f>SUM(M45:M54)</f>
        <v>288335</v>
      </c>
      <c r="N55" s="39">
        <f>SUM(N45:N54)</f>
        <v>432502.5</v>
      </c>
      <c r="O55" s="39"/>
      <c r="P55" s="33"/>
      <c r="Q55" s="33"/>
    </row>
    <row r="57" spans="1:17" ht="27.6" x14ac:dyDescent="0.3">
      <c r="A57" s="3" t="s">
        <v>0</v>
      </c>
      <c r="B57" s="4" t="s">
        <v>1</v>
      </c>
      <c r="C57" s="4" t="s">
        <v>2</v>
      </c>
      <c r="D57" s="5" t="s">
        <v>19</v>
      </c>
      <c r="E57" s="4" t="s">
        <v>5</v>
      </c>
      <c r="F57" s="4" t="s">
        <v>6</v>
      </c>
      <c r="G57" s="4" t="s">
        <v>3</v>
      </c>
      <c r="H57" s="4" t="s">
        <v>4</v>
      </c>
      <c r="I57" s="5" t="s">
        <v>31</v>
      </c>
      <c r="J57" s="65" t="s">
        <v>116</v>
      </c>
      <c r="K57" s="5" t="s">
        <v>235</v>
      </c>
      <c r="L57" s="6" t="s">
        <v>28</v>
      </c>
      <c r="M57" s="7" t="s">
        <v>29</v>
      </c>
      <c r="N57" s="7" t="s">
        <v>30</v>
      </c>
      <c r="O57" s="4" t="s">
        <v>7</v>
      </c>
      <c r="P57" s="4" t="s">
        <v>35</v>
      </c>
      <c r="Q57" s="8"/>
    </row>
    <row r="58" spans="1:17" s="59" customFormat="1" ht="14.4" x14ac:dyDescent="0.3">
      <c r="A58" s="100" t="s">
        <v>49</v>
      </c>
      <c r="B58" s="53" t="s">
        <v>50</v>
      </c>
      <c r="C58" s="53" t="s">
        <v>88</v>
      </c>
      <c r="D58" s="101">
        <v>405</v>
      </c>
      <c r="E58" s="53" t="s">
        <v>84</v>
      </c>
      <c r="F58" s="53" t="s">
        <v>70</v>
      </c>
      <c r="G58" s="99" t="s">
        <v>10</v>
      </c>
      <c r="H58" s="53" t="s">
        <v>87</v>
      </c>
      <c r="I58" s="53">
        <v>405</v>
      </c>
      <c r="J58" s="53">
        <f>(I58*1000)*0.5</f>
        <v>202500</v>
      </c>
      <c r="K58" s="53">
        <v>0</v>
      </c>
      <c r="L58" s="102">
        <f>J58-K58</f>
        <v>202500</v>
      </c>
      <c r="M58" s="55">
        <f>L58*2</f>
        <v>405000</v>
      </c>
      <c r="N58" s="55">
        <f>L58*3</f>
        <v>607500</v>
      </c>
      <c r="O58" s="56" t="s">
        <v>83</v>
      </c>
      <c r="P58" s="53" t="s">
        <v>82</v>
      </c>
      <c r="Q58" s="53"/>
    </row>
    <row r="59" spans="1:17" ht="14.4" x14ac:dyDescent="0.3">
      <c r="A59" s="10"/>
      <c r="B59" s="10"/>
      <c r="C59" s="10"/>
      <c r="D59" s="51"/>
      <c r="E59" s="10" t="s">
        <v>85</v>
      </c>
      <c r="F59" s="10"/>
      <c r="G59" s="94"/>
      <c r="H59" s="10"/>
      <c r="I59" s="10"/>
      <c r="J59" s="15"/>
      <c r="K59" s="10"/>
      <c r="L59" s="80"/>
      <c r="M59" s="13"/>
      <c r="N59" s="13"/>
      <c r="O59" s="14"/>
      <c r="P59" s="10"/>
      <c r="Q59" s="10"/>
    </row>
    <row r="60" spans="1:17" ht="14.4" x14ac:dyDescent="0.3">
      <c r="A60" s="10"/>
      <c r="B60" s="10"/>
      <c r="C60" s="10"/>
      <c r="D60" s="51"/>
      <c r="E60" s="10" t="s">
        <v>86</v>
      </c>
      <c r="F60" s="10"/>
      <c r="G60" s="94"/>
      <c r="H60" s="10"/>
      <c r="I60" s="10"/>
      <c r="J60" s="15"/>
      <c r="K60" s="15"/>
      <c r="L60" s="80"/>
      <c r="M60" s="13"/>
      <c r="N60" s="13"/>
      <c r="O60" s="14"/>
      <c r="P60" s="10" t="s">
        <v>24</v>
      </c>
      <c r="Q60" s="10"/>
    </row>
    <row r="61" spans="1:17" ht="14.4" x14ac:dyDescent="0.3">
      <c r="A61" s="52"/>
      <c r="B61" s="52"/>
      <c r="C61" s="52"/>
      <c r="D61" s="90"/>
      <c r="E61" s="52"/>
      <c r="F61" s="52"/>
      <c r="G61" s="94"/>
      <c r="H61" s="10"/>
      <c r="I61" s="10"/>
      <c r="J61" s="15"/>
      <c r="K61" s="10"/>
      <c r="L61" s="80"/>
      <c r="M61" s="13"/>
      <c r="N61" s="13"/>
      <c r="O61" s="14"/>
      <c r="P61" s="10"/>
      <c r="Q61" s="10"/>
    </row>
    <row r="62" spans="1:17" ht="14.4" x14ac:dyDescent="0.3">
      <c r="A62" s="10"/>
      <c r="B62" s="10" t="s">
        <v>51</v>
      </c>
      <c r="C62" s="10" t="s">
        <v>88</v>
      </c>
      <c r="D62" s="51">
        <f>I62+I63+I64+I65+I66+I67</f>
        <v>506.29999999999995</v>
      </c>
      <c r="E62" s="10" t="s">
        <v>93</v>
      </c>
      <c r="F62" s="10" t="s">
        <v>89</v>
      </c>
      <c r="G62" s="94" t="s">
        <v>10</v>
      </c>
      <c r="H62" s="10" t="s">
        <v>100</v>
      </c>
      <c r="I62" s="10">
        <v>261.89999999999998</v>
      </c>
      <c r="J62" s="15">
        <f t="shared" ref="J62:J67" si="12">(I62*1000)*0.5</f>
        <v>130949.99999999999</v>
      </c>
      <c r="K62" s="10">
        <v>4500</v>
      </c>
      <c r="L62" s="80">
        <f t="shared" ref="L62:L67" si="13">J62-K62</f>
        <v>126449.99999999999</v>
      </c>
      <c r="M62" s="13">
        <f t="shared" ref="M62:M67" si="14">L62*2</f>
        <v>252899.99999999997</v>
      </c>
      <c r="N62" s="13">
        <f t="shared" ref="N62:N67" si="15">L62*3</f>
        <v>379349.99999999994</v>
      </c>
      <c r="O62" s="14" t="s">
        <v>25</v>
      </c>
      <c r="P62" s="10" t="s">
        <v>94</v>
      </c>
      <c r="Q62" s="10"/>
    </row>
    <row r="63" spans="1:17" ht="14.4" x14ac:dyDescent="0.3">
      <c r="A63" s="53"/>
      <c r="B63" s="53"/>
      <c r="C63" s="53"/>
      <c r="D63" s="54"/>
      <c r="E63" s="15" t="s">
        <v>93</v>
      </c>
      <c r="F63" s="15" t="s">
        <v>90</v>
      </c>
      <c r="G63" s="182" t="s">
        <v>10</v>
      </c>
      <c r="H63" s="15" t="s">
        <v>100</v>
      </c>
      <c r="I63" s="15">
        <v>28.1</v>
      </c>
      <c r="J63" s="15">
        <f t="shared" si="12"/>
        <v>14050</v>
      </c>
      <c r="K63" s="15">
        <v>0</v>
      </c>
      <c r="L63" s="80">
        <f t="shared" si="13"/>
        <v>14050</v>
      </c>
      <c r="M63" s="183">
        <f t="shared" si="14"/>
        <v>28100</v>
      </c>
      <c r="N63" s="183">
        <f t="shared" si="15"/>
        <v>42150</v>
      </c>
      <c r="O63" s="184" t="s">
        <v>238</v>
      </c>
      <c r="P63" s="15"/>
      <c r="Q63" s="10"/>
    </row>
    <row r="64" spans="1:17" ht="14.4" x14ac:dyDescent="0.3">
      <c r="A64" s="10"/>
      <c r="B64" s="10"/>
      <c r="C64" s="10"/>
      <c r="D64" s="11"/>
      <c r="E64" s="10" t="s">
        <v>93</v>
      </c>
      <c r="F64" s="10" t="s">
        <v>91</v>
      </c>
      <c r="G64" s="94" t="s">
        <v>10</v>
      </c>
      <c r="H64" s="10" t="s">
        <v>100</v>
      </c>
      <c r="I64" s="10">
        <v>34.4</v>
      </c>
      <c r="J64" s="15">
        <f t="shared" si="12"/>
        <v>17200</v>
      </c>
      <c r="K64" s="10">
        <v>0</v>
      </c>
      <c r="L64" s="80">
        <f t="shared" si="13"/>
        <v>17200</v>
      </c>
      <c r="M64" s="13">
        <f t="shared" si="14"/>
        <v>34400</v>
      </c>
      <c r="N64" s="13">
        <f t="shared" si="15"/>
        <v>51600</v>
      </c>
      <c r="O64" s="14" t="s">
        <v>73</v>
      </c>
      <c r="P64" s="10" t="s">
        <v>94</v>
      </c>
      <c r="Q64" s="10"/>
    </row>
    <row r="65" spans="1:17" ht="14.4" x14ac:dyDescent="0.3">
      <c r="A65" s="10"/>
      <c r="B65" s="10"/>
      <c r="C65" s="10"/>
      <c r="D65" s="11"/>
      <c r="E65" s="10" t="s">
        <v>69</v>
      </c>
      <c r="F65" s="10" t="s">
        <v>96</v>
      </c>
      <c r="G65" s="94" t="s">
        <v>10</v>
      </c>
      <c r="H65" s="10" t="s">
        <v>99</v>
      </c>
      <c r="I65" s="10">
        <v>30</v>
      </c>
      <c r="J65" s="15">
        <f t="shared" si="12"/>
        <v>15000</v>
      </c>
      <c r="K65" s="10">
        <v>10000</v>
      </c>
      <c r="L65" s="80">
        <f t="shared" si="13"/>
        <v>5000</v>
      </c>
      <c r="M65" s="13">
        <f t="shared" si="14"/>
        <v>10000</v>
      </c>
      <c r="N65" s="13">
        <f t="shared" si="15"/>
        <v>15000</v>
      </c>
      <c r="O65" s="14" t="s">
        <v>73</v>
      </c>
      <c r="P65" s="10" t="s">
        <v>181</v>
      </c>
      <c r="Q65" s="10"/>
    </row>
    <row r="66" spans="1:17" ht="14.4" x14ac:dyDescent="0.3">
      <c r="A66" s="10"/>
      <c r="B66" s="10"/>
      <c r="C66" s="10"/>
      <c r="D66" s="11"/>
      <c r="E66" s="10" t="s">
        <v>69</v>
      </c>
      <c r="F66" s="10" t="s">
        <v>92</v>
      </c>
      <c r="G66" s="94" t="s">
        <v>10</v>
      </c>
      <c r="H66" s="10" t="s">
        <v>87</v>
      </c>
      <c r="I66" s="10">
        <v>52.4</v>
      </c>
      <c r="J66" s="15">
        <f t="shared" si="12"/>
        <v>26200</v>
      </c>
      <c r="K66" s="10">
        <v>0</v>
      </c>
      <c r="L66" s="80">
        <f t="shared" si="13"/>
        <v>26200</v>
      </c>
      <c r="M66" s="13">
        <f t="shared" si="14"/>
        <v>52400</v>
      </c>
      <c r="N66" s="13">
        <f t="shared" si="15"/>
        <v>78600</v>
      </c>
      <c r="O66" s="14" t="s">
        <v>25</v>
      </c>
      <c r="P66" s="10"/>
      <c r="Q66" s="10"/>
    </row>
    <row r="67" spans="1:17" ht="14.4" x14ac:dyDescent="0.3">
      <c r="A67" s="10"/>
      <c r="B67" s="10"/>
      <c r="C67" s="10"/>
      <c r="D67" s="11"/>
      <c r="E67" s="10" t="s">
        <v>98</v>
      </c>
      <c r="F67" s="10" t="s">
        <v>97</v>
      </c>
      <c r="G67" s="94" t="s">
        <v>10</v>
      </c>
      <c r="H67" s="10" t="s">
        <v>100</v>
      </c>
      <c r="I67" s="10">
        <v>99.5</v>
      </c>
      <c r="J67" s="15">
        <f t="shared" si="12"/>
        <v>49750</v>
      </c>
      <c r="K67" s="10">
        <v>0</v>
      </c>
      <c r="L67" s="80">
        <f t="shared" si="13"/>
        <v>49750</v>
      </c>
      <c r="M67" s="13">
        <f t="shared" si="14"/>
        <v>99500</v>
      </c>
      <c r="N67" s="13">
        <f t="shared" si="15"/>
        <v>149250</v>
      </c>
      <c r="O67" s="14" t="s">
        <v>25</v>
      </c>
      <c r="P67" s="10"/>
      <c r="Q67" s="10"/>
    </row>
    <row r="68" spans="1:17" ht="14.4" x14ac:dyDescent="0.3">
      <c r="A68" s="10"/>
      <c r="B68" s="10"/>
      <c r="C68" s="10"/>
      <c r="D68" s="10"/>
      <c r="E68" s="23"/>
      <c r="F68" s="10"/>
      <c r="G68" s="94"/>
      <c r="H68" s="10"/>
      <c r="I68" s="10"/>
      <c r="J68" s="53"/>
      <c r="K68" s="10"/>
      <c r="L68" s="25"/>
      <c r="M68" s="10"/>
      <c r="N68" s="10"/>
      <c r="O68" s="10"/>
      <c r="P68" s="10"/>
      <c r="Q68" s="10"/>
    </row>
    <row r="69" spans="1:17" ht="14.4" x14ac:dyDescent="0.3">
      <c r="A69" s="26"/>
      <c r="B69" s="26"/>
      <c r="C69" s="27"/>
      <c r="D69" s="27"/>
      <c r="E69" s="27"/>
      <c r="F69" s="28"/>
      <c r="G69" s="96"/>
      <c r="H69" s="27"/>
      <c r="I69" s="29" t="s">
        <v>32</v>
      </c>
      <c r="J69" s="60"/>
      <c r="K69" s="29"/>
      <c r="L69" s="31" t="s">
        <v>27</v>
      </c>
      <c r="M69" s="26"/>
      <c r="N69" s="26"/>
      <c r="O69" s="26"/>
      <c r="P69" s="27"/>
      <c r="Q69" s="27"/>
    </row>
    <row r="70" spans="1:17" ht="14.4" x14ac:dyDescent="0.3">
      <c r="A70" s="32"/>
      <c r="B70" s="32"/>
      <c r="C70" s="33"/>
      <c r="D70" s="33"/>
      <c r="E70" s="33"/>
      <c r="F70" s="34"/>
      <c r="G70" s="35"/>
      <c r="H70" s="33"/>
      <c r="I70" s="36">
        <f>SUM(I58:I69)</f>
        <v>911.3</v>
      </c>
      <c r="J70" s="36"/>
      <c r="K70" s="36"/>
      <c r="L70" s="38">
        <f>L62+L64+L65+L66+L67+L63</f>
        <v>238650</v>
      </c>
      <c r="M70" s="39">
        <f>M62+M64+M65+M66+M67</f>
        <v>449200</v>
      </c>
      <c r="N70" s="39">
        <f>N62+N64+N65+N66+N67</f>
        <v>673800</v>
      </c>
      <c r="O70" s="39"/>
      <c r="P70" s="33"/>
      <c r="Q70" s="33"/>
    </row>
    <row r="72" spans="1:17" x14ac:dyDescent="0.25">
      <c r="A72" s="156" t="s">
        <v>227</v>
      </c>
      <c r="B72" s="156"/>
      <c r="C72" s="156"/>
      <c r="D72" s="156"/>
      <c r="E72" s="156"/>
      <c r="F72" s="156"/>
      <c r="G72" s="157"/>
      <c r="H72" s="156"/>
      <c r="I72" s="158">
        <f>I14+I28+I42+I55+I70</f>
        <v>3010.8540000000003</v>
      </c>
      <c r="J72" s="156"/>
      <c r="K72" s="156"/>
      <c r="L72" s="159">
        <f>L14+L28+L42+L55+L70</f>
        <v>1059510.8</v>
      </c>
      <c r="M72" s="160">
        <f>M14+M28+M42+M55+M70</f>
        <v>2090921.6</v>
      </c>
      <c r="N72" s="160">
        <f>N14+N28+N42+N55+N70</f>
        <v>3135565.5</v>
      </c>
      <c r="O72" s="156"/>
      <c r="P72" s="156"/>
      <c r="Q72" s="156"/>
    </row>
    <row r="73" spans="1:17" x14ac:dyDescent="0.25">
      <c r="A73" s="88"/>
      <c r="B73" s="88"/>
      <c r="C73" s="88"/>
      <c r="D73" s="88"/>
      <c r="E73" s="88"/>
      <c r="F73" s="88"/>
      <c r="G73" s="147"/>
      <c r="H73" s="88"/>
      <c r="I73" s="88"/>
      <c r="J73" s="88"/>
      <c r="K73" s="88"/>
      <c r="L73" s="88"/>
      <c r="M73" s="88"/>
      <c r="N73" s="88"/>
      <c r="O73" s="88"/>
      <c r="P73" s="88"/>
      <c r="Q73" s="88"/>
    </row>
    <row r="74" spans="1:17" x14ac:dyDescent="0.25">
      <c r="J74"/>
      <c r="L74"/>
    </row>
    <row r="75" spans="1:17" x14ac:dyDescent="0.25">
      <c r="J75"/>
      <c r="L75"/>
    </row>
    <row r="76" spans="1:17" x14ac:dyDescent="0.25">
      <c r="J76"/>
      <c r="L76"/>
    </row>
    <row r="77" spans="1:17" x14ac:dyDescent="0.25">
      <c r="J77"/>
      <c r="L77"/>
    </row>
    <row r="78" spans="1:17" x14ac:dyDescent="0.25">
      <c r="J78"/>
      <c r="L78"/>
    </row>
    <row r="79" spans="1:17" x14ac:dyDescent="0.25">
      <c r="J79"/>
      <c r="L79"/>
    </row>
    <row r="80" spans="1:17" x14ac:dyDescent="0.25">
      <c r="J80"/>
      <c r="L80"/>
    </row>
    <row r="81" spans="10:12" x14ac:dyDescent="0.25">
      <c r="J81"/>
      <c r="L81"/>
    </row>
    <row r="82" spans="10:12" x14ac:dyDescent="0.25">
      <c r="J82"/>
      <c r="L82"/>
    </row>
    <row r="83" spans="10:12" x14ac:dyDescent="0.25">
      <c r="J83"/>
      <c r="L83"/>
    </row>
    <row r="84" spans="10:12" x14ac:dyDescent="0.25">
      <c r="J84"/>
      <c r="L84"/>
    </row>
    <row r="85" spans="10:12" x14ac:dyDescent="0.25">
      <c r="J85"/>
      <c r="L85"/>
    </row>
    <row r="86" spans="10:12" x14ac:dyDescent="0.25">
      <c r="J86"/>
      <c r="L86"/>
    </row>
    <row r="87" spans="10:12" x14ac:dyDescent="0.25">
      <c r="J87"/>
      <c r="L87"/>
    </row>
    <row r="88" spans="10:12" x14ac:dyDescent="0.25">
      <c r="J88"/>
      <c r="L88"/>
    </row>
    <row r="89" spans="10:12" x14ac:dyDescent="0.25">
      <c r="J89"/>
      <c r="L89"/>
    </row>
    <row r="90" spans="10:12" x14ac:dyDescent="0.25">
      <c r="J90"/>
      <c r="L90"/>
    </row>
    <row r="91" spans="10:12" x14ac:dyDescent="0.25">
      <c r="J91"/>
      <c r="L91"/>
    </row>
    <row r="92" spans="10:12" x14ac:dyDescent="0.25">
      <c r="J92"/>
      <c r="L92"/>
    </row>
    <row r="93" spans="10:12" x14ac:dyDescent="0.25">
      <c r="J93"/>
      <c r="L93"/>
    </row>
    <row r="94" spans="10:12" x14ac:dyDescent="0.25">
      <c r="J94"/>
      <c r="L94"/>
    </row>
    <row r="95" spans="10:12" x14ac:dyDescent="0.25">
      <c r="J95"/>
      <c r="L95"/>
    </row>
    <row r="96" spans="10:12" x14ac:dyDescent="0.25">
      <c r="J96"/>
      <c r="L96"/>
    </row>
    <row r="97" spans="10:12" x14ac:dyDescent="0.25">
      <c r="J97"/>
      <c r="L97"/>
    </row>
    <row r="98" spans="10:12" x14ac:dyDescent="0.25">
      <c r="J98"/>
      <c r="L98"/>
    </row>
    <row r="99" spans="10:12" x14ac:dyDescent="0.25">
      <c r="J99"/>
      <c r="L99"/>
    </row>
    <row r="100" spans="10:12" x14ac:dyDescent="0.25">
      <c r="J100"/>
      <c r="L100"/>
    </row>
    <row r="101" spans="10:12" x14ac:dyDescent="0.25">
      <c r="J101"/>
      <c r="L101"/>
    </row>
    <row r="102" spans="10:12" x14ac:dyDescent="0.25">
      <c r="J102"/>
      <c r="L102"/>
    </row>
    <row r="103" spans="10:12" x14ac:dyDescent="0.25">
      <c r="J103"/>
      <c r="L103"/>
    </row>
    <row r="104" spans="10:12" x14ac:dyDescent="0.25">
      <c r="J104"/>
      <c r="L104"/>
    </row>
    <row r="105" spans="10:12" x14ac:dyDescent="0.25">
      <c r="J105"/>
      <c r="L105"/>
    </row>
    <row r="106" spans="10:12" x14ac:dyDescent="0.25">
      <c r="J106"/>
      <c r="L106"/>
    </row>
    <row r="107" spans="10:12" x14ac:dyDescent="0.25">
      <c r="J107"/>
      <c r="L107"/>
    </row>
    <row r="108" spans="10:12" x14ac:dyDescent="0.25">
      <c r="J108"/>
      <c r="L108"/>
    </row>
    <row r="109" spans="10:12" x14ac:dyDescent="0.25">
      <c r="J109"/>
      <c r="L109"/>
    </row>
    <row r="110" spans="10:12" x14ac:dyDescent="0.25">
      <c r="J110"/>
      <c r="L110"/>
    </row>
    <row r="111" spans="10:12" x14ac:dyDescent="0.25">
      <c r="J111"/>
      <c r="L111"/>
    </row>
    <row r="112" spans="10:12" x14ac:dyDescent="0.25">
      <c r="J112"/>
      <c r="L112"/>
    </row>
    <row r="113" spans="10:12" x14ac:dyDescent="0.25">
      <c r="J113"/>
      <c r="L113"/>
    </row>
    <row r="114" spans="10:12" x14ac:dyDescent="0.25">
      <c r="J114"/>
      <c r="L114"/>
    </row>
    <row r="115" spans="10:12" x14ac:dyDescent="0.25">
      <c r="J115"/>
      <c r="L115"/>
    </row>
    <row r="116" spans="10:12" x14ac:dyDescent="0.25">
      <c r="J116"/>
      <c r="L116"/>
    </row>
    <row r="117" spans="10:12" x14ac:dyDescent="0.25">
      <c r="J117"/>
      <c r="L117"/>
    </row>
    <row r="118" spans="10:12" x14ac:dyDescent="0.25">
      <c r="J118"/>
      <c r="L118"/>
    </row>
    <row r="119" spans="10:12" x14ac:dyDescent="0.25">
      <c r="J119"/>
      <c r="L119"/>
    </row>
    <row r="120" spans="10:12" x14ac:dyDescent="0.25">
      <c r="J120"/>
      <c r="L120"/>
    </row>
    <row r="121" spans="10:12" x14ac:dyDescent="0.25">
      <c r="J121"/>
      <c r="L121"/>
    </row>
    <row r="122" spans="10:12" x14ac:dyDescent="0.25">
      <c r="J122"/>
      <c r="L122"/>
    </row>
    <row r="123" spans="10:12" x14ac:dyDescent="0.25">
      <c r="J123"/>
      <c r="L123"/>
    </row>
    <row r="124" spans="10:12" x14ac:dyDescent="0.25">
      <c r="J124"/>
      <c r="L124"/>
    </row>
    <row r="125" spans="10:12" x14ac:dyDescent="0.25">
      <c r="J125"/>
      <c r="L125"/>
    </row>
    <row r="126" spans="10:12" x14ac:dyDescent="0.25">
      <c r="J126"/>
      <c r="L126"/>
    </row>
    <row r="127" spans="10:12" x14ac:dyDescent="0.25">
      <c r="J127"/>
      <c r="L127"/>
    </row>
    <row r="128" spans="10:12" x14ac:dyDescent="0.25">
      <c r="J128"/>
      <c r="L128"/>
    </row>
    <row r="129" spans="10:12" x14ac:dyDescent="0.25">
      <c r="J129"/>
      <c r="L129"/>
    </row>
    <row r="130" spans="10:12" x14ac:dyDescent="0.25">
      <c r="J130"/>
      <c r="L130"/>
    </row>
    <row r="131" spans="10:12" x14ac:dyDescent="0.25">
      <c r="J131"/>
      <c r="L131"/>
    </row>
    <row r="132" spans="10:12" x14ac:dyDescent="0.25">
      <c r="J132"/>
      <c r="L132"/>
    </row>
    <row r="133" spans="10:12" x14ac:dyDescent="0.25">
      <c r="J133"/>
      <c r="L133"/>
    </row>
    <row r="134" spans="10:12" x14ac:dyDescent="0.25">
      <c r="J134"/>
      <c r="L134"/>
    </row>
    <row r="135" spans="10:12" x14ac:dyDescent="0.25">
      <c r="J135"/>
      <c r="L135"/>
    </row>
    <row r="136" spans="10:12" x14ac:dyDescent="0.25">
      <c r="J136"/>
      <c r="L136"/>
    </row>
    <row r="137" spans="10:12" x14ac:dyDescent="0.25">
      <c r="J137"/>
      <c r="L137"/>
    </row>
    <row r="138" spans="10:12" x14ac:dyDescent="0.25">
      <c r="J138"/>
      <c r="L138"/>
    </row>
    <row r="139" spans="10:12" x14ac:dyDescent="0.25">
      <c r="J139"/>
      <c r="L139"/>
    </row>
    <row r="140" spans="10:12" x14ac:dyDescent="0.25">
      <c r="J140"/>
      <c r="L140"/>
    </row>
    <row r="141" spans="10:12" x14ac:dyDescent="0.25">
      <c r="J141"/>
      <c r="L141"/>
    </row>
    <row r="142" spans="10:12" x14ac:dyDescent="0.25">
      <c r="J142"/>
      <c r="L142"/>
    </row>
    <row r="143" spans="10:12" x14ac:dyDescent="0.25">
      <c r="J143"/>
      <c r="L143"/>
    </row>
    <row r="144" spans="10:12" x14ac:dyDescent="0.25">
      <c r="J144"/>
      <c r="L144"/>
    </row>
    <row r="145" spans="10:12" x14ac:dyDescent="0.25">
      <c r="J145"/>
      <c r="L145"/>
    </row>
    <row r="146" spans="10:12" x14ac:dyDescent="0.25">
      <c r="J146"/>
      <c r="L146"/>
    </row>
    <row r="147" spans="10:12" x14ac:dyDescent="0.25">
      <c r="J147"/>
      <c r="L147"/>
    </row>
    <row r="148" spans="10:12" x14ac:dyDescent="0.25">
      <c r="J148"/>
      <c r="L148"/>
    </row>
    <row r="149" spans="10:12" x14ac:dyDescent="0.25">
      <c r="J149"/>
      <c r="L149"/>
    </row>
    <row r="150" spans="10:12" x14ac:dyDescent="0.25">
      <c r="L150"/>
    </row>
    <row r="151" spans="10:12" x14ac:dyDescent="0.25">
      <c r="L151"/>
    </row>
    <row r="152" spans="10:12" x14ac:dyDescent="0.25">
      <c r="L152"/>
    </row>
    <row r="153" spans="10:12" x14ac:dyDescent="0.25">
      <c r="L153"/>
    </row>
    <row r="154" spans="10:12" x14ac:dyDescent="0.25">
      <c r="L154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8" scale="5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Oversikt</vt:lpstr>
      <vt:lpstr>Jevnaker</vt:lpstr>
      <vt:lpstr>Krødsherad</vt:lpstr>
      <vt:lpstr>Modum</vt:lpstr>
      <vt:lpstr>Hole</vt:lpstr>
      <vt:lpstr>Ringerike 1</vt:lpstr>
      <vt:lpstr>fDato</vt:lpstr>
    </vt:vector>
  </TitlesOfParts>
  <Company>HR Prosjekt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Åshild Lie</dc:creator>
  <cp:lastModifiedBy>Åshild Lie</cp:lastModifiedBy>
  <cp:lastPrinted>2023-06-19T13:13:10Z</cp:lastPrinted>
  <dcterms:created xsi:type="dcterms:W3CDTF">2023-04-13T07:29:37Z</dcterms:created>
  <dcterms:modified xsi:type="dcterms:W3CDTF">2023-06-19T13:16:11Z</dcterms:modified>
</cp:coreProperties>
</file>